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'Всего-дор'!$A$1:$AA$379</definedName>
  </definedNames>
  <calcPr calcId="145621"/>
</workbook>
</file>

<file path=xl/calcChain.xml><?xml version="1.0" encoding="utf-8"?>
<calcChain xmlns="http://schemas.openxmlformats.org/spreadsheetml/2006/main">
  <c r="V134" i="4" l="1"/>
  <c r="V142" i="4"/>
  <c r="Z207" i="4" l="1"/>
  <c r="V207" i="4"/>
  <c r="V158" i="4"/>
  <c r="V96" i="4"/>
  <c r="Z103" i="4" l="1"/>
  <c r="V82" i="4" l="1"/>
  <c r="V84" i="4"/>
  <c r="V179" i="4" l="1"/>
  <c r="V184" i="4"/>
  <c r="Z184" i="4" s="1"/>
  <c r="V118" i="4"/>
  <c r="V169" i="4" l="1"/>
  <c r="Z175" i="4"/>
  <c r="Z174" i="4"/>
  <c r="Z173" i="4"/>
  <c r="Z212" i="4"/>
  <c r="V200" i="4"/>
  <c r="Z205" i="4"/>
  <c r="Z198" i="4"/>
  <c r="Z191" i="4"/>
  <c r="Z168" i="4"/>
  <c r="Z144" i="4"/>
  <c r="Z136" i="4"/>
  <c r="V342" i="4" l="1"/>
  <c r="V256" i="4"/>
  <c r="V241" i="4"/>
  <c r="V231" i="4"/>
  <c r="V189" i="4"/>
  <c r="V186" i="4" s="1"/>
  <c r="V34" i="4"/>
  <c r="Z112" i="4"/>
  <c r="V119" i="4"/>
  <c r="V122" i="4"/>
  <c r="Z127" i="4"/>
  <c r="V166" i="4" l="1"/>
  <c r="V165" i="4" s="1"/>
  <c r="V133" i="4"/>
  <c r="V194" i="4"/>
  <c r="V193" i="4" s="1"/>
  <c r="V152" i="4"/>
  <c r="V123" i="4"/>
  <c r="V160" i="4" l="1"/>
  <c r="V141" i="4"/>
  <c r="W30" i="4" l="1"/>
  <c r="Y22" i="4" l="1"/>
  <c r="Y31" i="4"/>
  <c r="Y30" i="4"/>
  <c r="U31" i="4"/>
  <c r="U30" i="4"/>
  <c r="Z87" i="4"/>
  <c r="Z50" i="4"/>
  <c r="Z39" i="4"/>
  <c r="Z40" i="4"/>
  <c r="Z38" i="4"/>
  <c r="W81" i="4"/>
  <c r="Z86" i="4"/>
  <c r="Z85" i="4"/>
  <c r="W43" i="4"/>
  <c r="Z47" i="4"/>
  <c r="W33" i="4"/>
  <c r="W29" i="4" s="1"/>
  <c r="X33" i="4"/>
  <c r="X29" i="4" s="1"/>
  <c r="Y33" i="4"/>
  <c r="Y29" i="4" s="1"/>
  <c r="Z35" i="4"/>
  <c r="Z333" i="4" l="1"/>
  <c r="Z331" i="4"/>
  <c r="Z332" i="4"/>
  <c r="Z102" i="4"/>
  <c r="Z101" i="4"/>
  <c r="W113" i="4"/>
  <c r="W301" i="4"/>
  <c r="W326" i="4"/>
  <c r="X326" i="4"/>
  <c r="Y326" i="4"/>
  <c r="X95" i="4"/>
  <c r="Y95" i="4"/>
  <c r="W95" i="4"/>
  <c r="Z37" i="4" l="1"/>
  <c r="V346" i="4" l="1"/>
  <c r="V215" i="4"/>
  <c r="Z88" i="4" l="1"/>
  <c r="V126" i="4" l="1"/>
  <c r="V104" i="4"/>
  <c r="V110" i="4"/>
  <c r="V111" i="4" l="1"/>
  <c r="V155" i="4"/>
  <c r="V183" i="4"/>
  <c r="Z183" i="4" s="1"/>
  <c r="V180" i="4"/>
  <c r="Z111" i="4"/>
  <c r="T113" i="4"/>
  <c r="V113" i="4"/>
  <c r="X113" i="4"/>
  <c r="Y113" i="4"/>
  <c r="V108" i="4"/>
  <c r="Z108" i="4" s="1"/>
  <c r="V109" i="4"/>
  <c r="W133" i="4"/>
  <c r="X133" i="4"/>
  <c r="Y133" i="4"/>
  <c r="Z135" i="4"/>
  <c r="U134" i="4"/>
  <c r="T134" i="4"/>
  <c r="Z167" i="4"/>
  <c r="Z166" i="4"/>
  <c r="U164" i="4"/>
  <c r="Z164" i="4" s="1"/>
  <c r="Z143" i="4"/>
  <c r="U142" i="4"/>
  <c r="T142" i="4"/>
  <c r="Z126" i="4"/>
  <c r="Z98" i="4"/>
  <c r="Z110" i="4"/>
  <c r="V91" i="4"/>
  <c r="V89" i="4" s="1"/>
  <c r="Z89" i="4" s="1"/>
  <c r="Z90" i="4"/>
  <c r="Z109" i="4" l="1"/>
  <c r="Z165" i="4"/>
  <c r="V163" i="4"/>
  <c r="Z163" i="4" s="1"/>
  <c r="Z134" i="4"/>
  <c r="Z133" i="4" s="1"/>
  <c r="U162" i="4"/>
  <c r="Z142" i="4"/>
  <c r="Z170" i="4"/>
  <c r="V162" i="4" l="1"/>
  <c r="Z125" i="4"/>
  <c r="Z124" i="4"/>
  <c r="Z123" i="4"/>
  <c r="Z92" i="4"/>
  <c r="V81" i="4"/>
  <c r="Z82" i="4"/>
  <c r="Z83" i="4"/>
  <c r="Z84" i="4"/>
  <c r="Z211" i="4"/>
  <c r="Z204" i="4"/>
  <c r="Z197" i="4"/>
  <c r="Z190" i="4"/>
  <c r="Z81" i="4" l="1"/>
  <c r="Z91" i="4"/>
  <c r="Z297" i="4" l="1"/>
  <c r="Z296" i="4"/>
  <c r="Z295" i="4"/>
  <c r="Z294" i="4"/>
  <c r="V293" i="4"/>
  <c r="Z293" i="4" s="1"/>
  <c r="Z292" i="4"/>
  <c r="Z291" i="4"/>
  <c r="Z290" i="4"/>
  <c r="Z289" i="4"/>
  <c r="V288" i="4"/>
  <c r="Z288" i="4" s="1"/>
  <c r="Z287" i="4"/>
  <c r="Z286" i="4"/>
  <c r="Z285" i="4"/>
  <c r="Z284" i="4"/>
  <c r="V283" i="4"/>
  <c r="Z283" i="4" s="1"/>
  <c r="Z282" i="4"/>
  <c r="Z281" i="4"/>
  <c r="Z280" i="4"/>
  <c r="Z279" i="4"/>
  <c r="V278" i="4"/>
  <c r="Z278" i="4" s="1"/>
  <c r="Z277" i="4"/>
  <c r="Z276" i="4"/>
  <c r="Z275" i="4"/>
  <c r="Z274" i="4"/>
  <c r="Z273" i="4"/>
  <c r="V272" i="4"/>
  <c r="Z272" i="4" s="1"/>
  <c r="Z271" i="4"/>
  <c r="Z270" i="4"/>
  <c r="Z269" i="4"/>
  <c r="Z268" i="4"/>
  <c r="Z267" i="4"/>
  <c r="V266" i="4"/>
  <c r="Z266" i="4" s="1"/>
  <c r="Z259" i="4"/>
  <c r="Z256" i="4"/>
  <c r="Z257" i="4"/>
  <c r="Z258" i="4"/>
  <c r="Z254" i="4"/>
  <c r="Z251" i="4"/>
  <c r="Z252" i="4"/>
  <c r="Z253" i="4"/>
  <c r="Z249" i="4"/>
  <c r="Z246" i="4"/>
  <c r="Z247" i="4"/>
  <c r="Z248" i="4"/>
  <c r="Z244" i="4"/>
  <c r="Z241" i="4"/>
  <c r="Z242" i="4"/>
  <c r="Z243" i="4"/>
  <c r="Z239" i="4"/>
  <c r="Z236" i="4"/>
  <c r="Z237" i="4"/>
  <c r="Z238" i="4"/>
  <c r="Z234" i="4"/>
  <c r="Z231" i="4"/>
  <c r="Z232" i="4"/>
  <c r="Z233" i="4"/>
  <c r="V255" i="4"/>
  <c r="Z255" i="4" s="1"/>
  <c r="V250" i="4"/>
  <c r="Z250" i="4" s="1"/>
  <c r="V245" i="4"/>
  <c r="Z245" i="4" s="1"/>
  <c r="V240" i="4"/>
  <c r="Z240" i="4" s="1"/>
  <c r="V235" i="4"/>
  <c r="Z235" i="4" s="1"/>
  <c r="V230" i="4"/>
  <c r="Z230" i="4" s="1"/>
  <c r="Z261" i="4"/>
  <c r="Z262" i="4"/>
  <c r="Z263" i="4"/>
  <c r="Z264" i="4"/>
  <c r="Z265" i="4"/>
  <c r="V260" i="4"/>
  <c r="Z260" i="4" s="1"/>
  <c r="U158" i="4" l="1"/>
  <c r="U160" i="4"/>
  <c r="V95" i="4" l="1"/>
  <c r="V182" i="4" l="1"/>
  <c r="Z203" i="4"/>
  <c r="T43" i="4"/>
  <c r="V43" i="4"/>
  <c r="Z46" i="4"/>
  <c r="Z189" i="4"/>
  <c r="Z182" i="4" l="1"/>
  <c r="V177" i="4"/>
  <c r="Z210" i="4"/>
  <c r="Z196" i="4"/>
  <c r="Z97" i="4"/>
  <c r="U95" i="4"/>
  <c r="T95" i="4"/>
  <c r="V107" i="4" l="1"/>
  <c r="V103" i="4" s="1"/>
  <c r="Z122" i="4"/>
  <c r="Z95" i="4"/>
  <c r="Z45" i="4"/>
  <c r="Z107" i="4" l="1"/>
  <c r="V185" i="4"/>
  <c r="V178" i="4" s="1"/>
  <c r="U306" i="4" l="1"/>
  <c r="Z311" i="4"/>
  <c r="Z312" i="4"/>
  <c r="U76" i="4"/>
  <c r="V345" i="4" l="1"/>
  <c r="W345" i="4"/>
  <c r="X345" i="4"/>
  <c r="Y345" i="4"/>
  <c r="W346" i="4"/>
  <c r="X346" i="4"/>
  <c r="Y346" i="4"/>
  <c r="U346" i="4" l="1"/>
  <c r="U345" i="4"/>
  <c r="U215" i="4"/>
  <c r="U139" i="4"/>
  <c r="U327" i="4" l="1"/>
  <c r="U66" i="4"/>
  <c r="U55" i="4"/>
  <c r="U217" i="4"/>
  <c r="U208" i="4"/>
  <c r="U201" i="4"/>
  <c r="U194" i="4"/>
  <c r="U187" i="4"/>
  <c r="U155" i="4"/>
  <c r="U152" i="4"/>
  <c r="U149" i="4"/>
  <c r="U141" i="4"/>
  <c r="U133" i="4"/>
  <c r="U119" i="4"/>
  <c r="U96" i="4"/>
  <c r="Z171" i="4" l="1"/>
  <c r="U128" i="4" l="1"/>
  <c r="U113" i="4" s="1"/>
  <c r="Z113" i="4" s="1"/>
  <c r="V326" i="4" l="1"/>
  <c r="U326" i="4"/>
  <c r="Z329" i="4"/>
  <c r="U342" i="4" l="1"/>
  <c r="U62" i="4" l="1"/>
  <c r="U44" i="4"/>
  <c r="U43" i="4" s="1"/>
  <c r="Z43" i="4" s="1"/>
  <c r="U34" i="4"/>
  <c r="Z49" i="4" l="1"/>
  <c r="U103" i="4" l="1"/>
  <c r="Z106" i="4"/>
  <c r="U118" i="4"/>
  <c r="Z121" i="4"/>
  <c r="U301" i="4" l="1"/>
  <c r="Z315" i="4"/>
  <c r="Z313" i="4"/>
  <c r="T32" i="4" l="1"/>
  <c r="U32" i="4"/>
  <c r="W118" i="4" l="1"/>
  <c r="X118" i="4"/>
  <c r="Y118" i="4"/>
  <c r="X104" i="4"/>
  <c r="Y104" i="4"/>
  <c r="X103" i="4"/>
  <c r="Y103" i="4"/>
  <c r="W340" i="4"/>
  <c r="W299" i="4" s="1"/>
  <c r="W298" i="4" s="1"/>
  <c r="X340" i="4"/>
  <c r="X299" i="4" s="1"/>
  <c r="X298" i="4" s="1"/>
  <c r="Y340" i="4"/>
  <c r="Y299" i="4" s="1"/>
  <c r="Y298" i="4" s="1"/>
  <c r="W103" i="4"/>
  <c r="V340" i="4" l="1"/>
  <c r="V299" i="4" s="1"/>
  <c r="U340" i="4" l="1"/>
  <c r="Z341" i="4"/>
  <c r="Z342" i="4"/>
  <c r="Z340" i="4" l="1"/>
  <c r="U185" i="4"/>
  <c r="U178" i="4" s="1"/>
  <c r="Z36" i="4" l="1"/>
  <c r="U33" i="4"/>
  <c r="W104" i="4" l="1"/>
  <c r="V93" i="4" l="1"/>
  <c r="Z162" i="4"/>
  <c r="Z169" i="4"/>
  <c r="U154" i="4" l="1"/>
  <c r="U153" i="4"/>
  <c r="Z223" i="4" l="1"/>
  <c r="Z219" i="4"/>
  <c r="Z227" i="4"/>
  <c r="U225" i="4"/>
  <c r="Z225" i="4" s="1"/>
  <c r="Z226" i="4"/>
  <c r="U221" i="4"/>
  <c r="U220" i="4" s="1"/>
  <c r="Z220" i="4" s="1"/>
  <c r="Z222" i="4"/>
  <c r="Z218" i="4"/>
  <c r="Z217" i="4"/>
  <c r="U334" i="4"/>
  <c r="Z337" i="4"/>
  <c r="Z75" i="4"/>
  <c r="Z76" i="4"/>
  <c r="U74" i="4"/>
  <c r="U29" i="4" s="1"/>
  <c r="T74" i="4"/>
  <c r="Z74" i="4" l="1"/>
  <c r="U216" i="4"/>
  <c r="Z216" i="4" s="1"/>
  <c r="U224" i="4"/>
  <c r="Z224" i="4" s="1"/>
  <c r="Z221" i="4"/>
  <c r="Z51" i="4" l="1"/>
  <c r="U104" i="4" l="1"/>
  <c r="Z336" i="4"/>
  <c r="U299" i="4"/>
  <c r="T326" i="4"/>
  <c r="Z328" i="4"/>
  <c r="T308" i="4"/>
  <c r="Z326" i="4" l="1"/>
  <c r="T302" i="4"/>
  <c r="T304" i="4"/>
  <c r="T158" i="4" l="1"/>
  <c r="T133" i="4"/>
  <c r="T96" i="4"/>
  <c r="T335" i="4" l="1"/>
  <c r="T334" i="4" s="1"/>
  <c r="Z334" i="4" s="1"/>
  <c r="Z309" i="4"/>
  <c r="Z310" i="4"/>
  <c r="T201" i="4"/>
  <c r="T215" i="4" l="1"/>
  <c r="Z209" i="4"/>
  <c r="Z202" i="4"/>
  <c r="Z195" i="4"/>
  <c r="Z188" i="4"/>
  <c r="U186" i="4"/>
  <c r="T181" i="4"/>
  <c r="U180" i="4"/>
  <c r="U179" i="4" s="1"/>
  <c r="U177" i="4" s="1"/>
  <c r="T186" i="4"/>
  <c r="U193" i="4"/>
  <c r="U200" i="4"/>
  <c r="T200" i="4"/>
  <c r="U207" i="4"/>
  <c r="Z186" i="4" l="1"/>
  <c r="Z181" i="4"/>
  <c r="T199" i="4"/>
  <c r="T153" i="4"/>
  <c r="T152" i="4"/>
  <c r="T116" i="4"/>
  <c r="T194" i="4"/>
  <c r="T193" i="4" l="1"/>
  <c r="T156" i="4"/>
  <c r="T55" i="4" l="1"/>
  <c r="T52" i="4"/>
  <c r="T79" i="4"/>
  <c r="T352" i="4"/>
  <c r="T130" i="4"/>
  <c r="T139" i="4"/>
  <c r="T146" i="4"/>
  <c r="T145" i="4"/>
  <c r="T132" i="4"/>
  <c r="V132" i="4"/>
  <c r="W132" i="4"/>
  <c r="X132" i="4"/>
  <c r="Y132" i="4"/>
  <c r="T141" i="4"/>
  <c r="T120" i="4"/>
  <c r="T119" i="4"/>
  <c r="T105" i="4" l="1"/>
  <c r="Z105" i="4" s="1"/>
  <c r="T104" i="4"/>
  <c r="Z104" i="4" s="1"/>
  <c r="Z120" i="4"/>
  <c r="T118" i="4"/>
  <c r="Z118" i="4" s="1"/>
  <c r="T103" i="4" l="1"/>
  <c r="T301" i="4" l="1"/>
  <c r="U148" i="4" l="1"/>
  <c r="V148" i="4"/>
  <c r="W148" i="4"/>
  <c r="X148" i="4"/>
  <c r="Y148" i="4"/>
  <c r="T148" i="4"/>
  <c r="Z159" i="4"/>
  <c r="T307" i="4" l="1"/>
  <c r="T306" i="4" s="1"/>
  <c r="T299" i="4" s="1"/>
  <c r="Z338" i="4" l="1"/>
  <c r="Z307" i="4"/>
  <c r="Z308" i="4"/>
  <c r="Z335" i="4" l="1"/>
  <c r="Z339" i="4"/>
  <c r="Z316" i="4" l="1"/>
  <c r="T94" i="4" l="1"/>
  <c r="Z114" i="4" l="1"/>
  <c r="Z115" i="4"/>
  <c r="Z116" i="4"/>
  <c r="Z117" i="4"/>
  <c r="Z119" i="4"/>
  <c r="Z80" i="4" l="1"/>
  <c r="Z79" i="4"/>
  <c r="T208" i="4"/>
  <c r="T207" i="4" l="1"/>
  <c r="T180" i="4"/>
  <c r="Z63" i="4"/>
  <c r="Z56" i="4"/>
  <c r="Z53" i="4"/>
  <c r="Z42" i="4"/>
  <c r="Z78" i="4"/>
  <c r="T179" i="4" l="1"/>
  <c r="T177" i="4" s="1"/>
  <c r="Z180" i="4"/>
  <c r="T206" i="4"/>
  <c r="T149" i="4"/>
  <c r="Z77" i="4" l="1"/>
  <c r="Z330" i="4" l="1"/>
  <c r="Z327" i="4"/>
  <c r="Z71" i="4" l="1"/>
  <c r="T34" i="4"/>
  <c r="T298" i="4" l="1"/>
  <c r="V298" i="4"/>
  <c r="Z314" i="4"/>
  <c r="Z301" i="4" s="1"/>
  <c r="Z306" i="4"/>
  <c r="U298" i="4" l="1"/>
  <c r="Z62" i="4"/>
  <c r="Z66" i="4"/>
  <c r="Z67" i="4"/>
  <c r="Z68" i="4"/>
  <c r="Z31" i="4" l="1"/>
  <c r="T345" i="4" l="1"/>
  <c r="Z34" i="4" l="1"/>
  <c r="Z41" i="4"/>
  <c r="Z44" i="4"/>
  <c r="Z52" i="4"/>
  <c r="Z54" i="4"/>
  <c r="Z99" i="4"/>
  <c r="Z129" i="4"/>
  <c r="U22" i="4" l="1"/>
  <c r="V33" i="4"/>
  <c r="V29" i="4" s="1"/>
  <c r="T33" i="4"/>
  <c r="T29" i="4" s="1"/>
  <c r="Z150" i="4" l="1"/>
  <c r="Z130" i="4" l="1"/>
  <c r="Y27" i="4" l="1"/>
  <c r="U25" i="4"/>
  <c r="V25" i="4"/>
  <c r="W25" i="4"/>
  <c r="X25" i="4"/>
  <c r="Y25" i="4"/>
  <c r="T25" i="4"/>
  <c r="W353" i="4"/>
  <c r="X353" i="4"/>
  <c r="Y353" i="4"/>
  <c r="Y94" i="4"/>
  <c r="Y23" i="4" s="1"/>
  <c r="T23" i="4"/>
  <c r="Y93" i="4"/>
  <c r="U147" i="4" l="1"/>
  <c r="U131" i="4" s="1"/>
  <c r="V147" i="4"/>
  <c r="V131" i="4" s="1"/>
  <c r="W147" i="4"/>
  <c r="W131" i="4" s="1"/>
  <c r="X147" i="4"/>
  <c r="X131" i="4" s="1"/>
  <c r="Y147" i="4"/>
  <c r="T147" i="4"/>
  <c r="T131" i="4" s="1"/>
  <c r="Y131" i="4" l="1"/>
  <c r="U132" i="4"/>
  <c r="U24" i="4" s="1"/>
  <c r="V24" i="4"/>
  <c r="W24" i="4"/>
  <c r="X24" i="4"/>
  <c r="Y24" i="4"/>
  <c r="Z24" i="4" s="1"/>
  <c r="Z132" i="4"/>
  <c r="T24" i="4"/>
  <c r="Z348" i="4"/>
  <c r="Z374" i="4"/>
  <c r="Z32" i="4"/>
  <c r="Z33" i="4"/>
  <c r="Z55" i="4"/>
  <c r="Z57" i="4"/>
  <c r="Z58" i="4"/>
  <c r="Z59" i="4"/>
  <c r="Z138" i="4"/>
  <c r="Z139" i="4"/>
  <c r="Z140" i="4"/>
  <c r="Z145" i="4"/>
  <c r="Z146" i="4"/>
  <c r="Z151" i="4"/>
  <c r="Z153" i="4"/>
  <c r="Z154" i="4"/>
  <c r="Z156" i="4"/>
  <c r="Z157" i="4"/>
  <c r="Z161" i="4"/>
  <c r="Z192" i="4"/>
  <c r="Z199" i="4"/>
  <c r="Z206" i="4"/>
  <c r="Z208" i="4"/>
  <c r="Z213" i="4"/>
  <c r="Z215" i="4"/>
  <c r="Z300" i="4"/>
  <c r="Z302" i="4"/>
  <c r="Z304" i="4"/>
  <c r="Z318" i="4"/>
  <c r="Z320" i="4"/>
  <c r="Z321" i="4"/>
  <c r="Z323" i="4"/>
  <c r="Z325" i="4"/>
  <c r="Z345" i="4"/>
  <c r="Z346" i="4"/>
  <c r="Z350" i="4"/>
  <c r="Z352" i="4"/>
  <c r="Z359" i="4"/>
  <c r="Z361" i="4"/>
  <c r="Z363" i="4"/>
  <c r="Z365" i="4"/>
  <c r="Z366" i="4"/>
  <c r="Z368" i="4"/>
  <c r="Z370" i="4"/>
  <c r="Z372" i="4"/>
  <c r="Z29" i="4" l="1"/>
  <c r="Y28" i="4"/>
  <c r="Y14" i="4" s="1"/>
  <c r="Z299" i="4"/>
  <c r="Z298" i="4" s="1"/>
  <c r="Z148" i="4"/>
  <c r="Z22" i="4" l="1"/>
  <c r="X94" i="4"/>
  <c r="X23" i="4" s="1"/>
  <c r="W94" i="4"/>
  <c r="W23" i="4" s="1"/>
  <c r="V94" i="4"/>
  <c r="V23" i="4" s="1"/>
  <c r="U94" i="4"/>
  <c r="U23" i="4" s="1"/>
  <c r="Z100" i="4" l="1"/>
  <c r="Z30" i="4" l="1"/>
  <c r="U353" i="4" l="1"/>
  <c r="T353" i="4"/>
  <c r="T93" i="4" l="1"/>
  <c r="T185" i="4"/>
  <c r="V353" i="4"/>
  <c r="Z185" i="4" l="1"/>
  <c r="Z355" i="4"/>
  <c r="Z356" i="4"/>
  <c r="Z194" i="4" l="1"/>
  <c r="Z193" i="4" s="1"/>
  <c r="U93" i="4"/>
  <c r="Z201" i="4"/>
  <c r="Z200" i="4" s="1"/>
  <c r="Z128" i="4"/>
  <c r="Z160" i="4"/>
  <c r="Z187" i="4"/>
  <c r="Z141" i="4"/>
  <c r="Z353" i="4" l="1"/>
  <c r="Z158" i="4"/>
  <c r="T28" i="4"/>
  <c r="Z152" i="4"/>
  <c r="Z155" i="4"/>
  <c r="Z96" i="4"/>
  <c r="Z149" i="4"/>
  <c r="W93" i="4"/>
  <c r="W28" i="4" s="1"/>
  <c r="T27" i="4"/>
  <c r="U27" i="4"/>
  <c r="V27" i="4"/>
  <c r="W27" i="4"/>
  <c r="X27" i="4"/>
  <c r="Z147" i="4" l="1"/>
  <c r="Z131" i="4" s="1"/>
  <c r="Z27" i="4"/>
  <c r="X93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3" i="4" l="1"/>
  <c r="T178" i="4"/>
  <c r="T26" i="4" s="1"/>
  <c r="U26" i="4"/>
  <c r="V26" i="4"/>
  <c r="Z26" i="4" l="1"/>
  <c r="Z23" i="4"/>
  <c r="Z94" i="4"/>
  <c r="Z178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79" i="4" l="1"/>
  <c r="V28" i="4"/>
  <c r="Z28" i="4" s="1"/>
  <c r="Z177" i="4" l="1"/>
  <c r="V14" i="4"/>
  <c r="Z14" i="4" s="1"/>
</calcChain>
</file>

<file path=xl/sharedStrings.xml><?xml version="1.0" encoding="utf-8"?>
<sst xmlns="http://schemas.openxmlformats.org/spreadsheetml/2006/main" count="3914" uniqueCount="256">
  <si>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</si>
  <si>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</si>
  <si>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</si>
  <si>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</si>
  <si>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</si>
  <si>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</si>
  <si>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</si>
  <si>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</si>
  <si>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</si>
  <si>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</si>
  <si>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</si>
  <si>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</si>
  <si>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</si>
  <si>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</si>
  <si>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</si>
  <si>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</si>
  <si>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</si>
  <si>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</si>
  <si>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</si>
  <si>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</si>
  <si>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</si>
  <si>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</si>
  <si>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</si>
  <si>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</si>
  <si>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</si>
  <si>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</si>
  <si>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</si>
  <si>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</si>
  <si>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</si>
  <si>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</si>
  <si>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</si>
  <si>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</si>
  <si>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</si>
  <si>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</si>
  <si>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</si>
  <si>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</si>
  <si>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</si>
  <si>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</si>
  <si>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</si>
  <si>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</si>
  <si>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</si>
  <si>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</si>
  <si>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</si>
  <si>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</si>
  <si>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</si>
  <si>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</si>
  <si>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</si>
  <si>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</si>
  <si>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</si>
  <si>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</si>
  <si>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</si>
  <si>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</si>
  <si>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</si>
  <si>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</si>
  <si>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</si>
  <si>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</si>
  <si>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</si>
  <si>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</si>
  <si>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</si>
  <si>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</si>
  <si>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</si>
  <si>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</si>
  <si>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</si>
  <si>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</si>
  <si>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</si>
  <si>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</si>
  <si>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</si>
  <si>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</si>
  <si>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</si>
  <si>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</si>
  <si>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</si>
  <si>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</si>
  <si>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</si>
  <si>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</si>
  <si>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</si>
  <si>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</si>
  <si>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</si>
  <si>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</si>
  <si>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</si>
  <si>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</si>
  <si>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</si>
  <si>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</si>
  <si>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</si>
  <si>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</si>
  <si>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</si>
  <si>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</si>
  <si>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</si>
  <si>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</si>
  <si>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</si>
  <si>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</si>
  <si>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</si>
  <si>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</si>
  <si>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</si>
  <si>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</si>
  <si>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</si>
  <si>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</si>
  <si>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</si>
  <si>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</si>
  <si>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</si>
  <si>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</si>
  <si>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</si>
  <si>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</si>
  <si>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</si>
  <si>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</si>
  <si>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</si>
  <si>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</si>
  <si>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</si>
  <si>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</si>
  <si>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</si>
  <si>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</si>
  <si>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</si>
  <si>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</si>
  <si>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</si>
  <si>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</si>
  <si>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</si>
  <si>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</si>
  <si>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</si>
  <si>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</si>
  <si>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</si>
  <si>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</si>
  <si>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</si>
  <si>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</si>
  <si>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</si>
  <si>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</si>
  <si>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</si>
  <si>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</si>
  <si>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</si>
  <si>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</si>
  <si>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</si>
  <si>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</si>
  <si>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</si>
  <si>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</si>
  <si>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</si>
  <si>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</si>
  <si>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</si>
  <si>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</si>
  <si>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</si>
  <si>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</si>
  <si>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</si>
  <si>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</si>
  <si>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</si>
  <si>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</si>
  <si>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</si>
  <si>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</si>
  <si>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</si>
  <si>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</si>
  <si>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</si>
  <si>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</si>
  <si>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</si>
  <si>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</si>
  <si>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</si>
  <si>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</si>
  <si>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</si>
  <si>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</si>
  <si>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</si>
  <si>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</si>
  <si>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</si>
  <si>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</si>
  <si>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</si>
  <si>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</si>
  <si>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</si>
  <si>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</si>
  <si>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</si>
  <si>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</si>
  <si>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</si>
  <si>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</si>
  <si>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</si>
  <si>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</si>
  <si>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</si>
  <si>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</si>
  <si>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</si>
  <si>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</si>
  <si>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</si>
  <si>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</si>
  <si>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</si>
  <si>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</si>
  <si>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</si>
  <si>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</si>
  <si>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</si>
  <si>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</si>
  <si>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</si>
  <si>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</si>
  <si>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</si>
  <si>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</si>
  <si>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</si>
  <si>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</si>
  <si>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</si>
  <si>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</si>
  <si>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</si>
  <si>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</si>
  <si>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</si>
  <si>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</si>
  <si>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</si>
  <si>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</si>
  <si>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</si>
  <si>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</si>
  <si>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</si>
  <si>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</si>
  <si>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</si>
  <si>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</si>
  <si>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</si>
  <si>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</si>
  <si>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</si>
  <si>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</si>
  <si>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</si>
  <si>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</si>
  <si>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</si>
  <si>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</si>
  <si>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</si>
  <si>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</si>
  <si>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</si>
  <si>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</si>
  <si>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</si>
  <si>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</si>
  <si>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</si>
  <si>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</si>
  <si>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</si>
  <si>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</si>
  <si>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</si>
  <si>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</si>
  <si>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</si>
  <si>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</si>
  <si>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</si>
  <si>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</si>
  <si>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</si>
  <si>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</si>
  <si>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</si>
  <si>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</si>
  <si>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</si>
  <si>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</si>
  <si>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</si>
  <si>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</si>
  <si>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</si>
  <si>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</si>
  <si>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Д.В. Санников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</si>
  <si>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</si>
  <si>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</si>
  <si>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</si>
  <si>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</si>
  <si>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</si>
  <si>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</si>
  <si>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</si>
  <si>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</si>
  <si>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</si>
  <si>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</si>
  <si>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</si>
  <si>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</si>
  <si>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</si>
  <si>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</si>
  <si>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</si>
  <si>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</si>
  <si>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</si>
  <si>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</si>
  <si>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</si>
  <si>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</si>
  <si>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>Приложение 1 
к постановлению администрации города Твери
от «22» декабря  2017 №  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</si>
</sst>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9"/>
  <sheetViews>
    <sheetView tabSelected="1" view="pageLayout" topLeftCell="M1" zoomScale="80" zoomScaleNormal="90" zoomScaleSheetLayoutView="8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71.2851562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4" width="10.5703125" style="77" customWidth="1"/>
    <col min="25" max="25" width="10.4257812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1" t="s">
        <v>255</v>
      </c>
      <c r="W1" s="101"/>
      <c r="X1" s="101"/>
      <c r="Y1" s="101"/>
      <c r="Z1" s="101"/>
      <c r="AA1" s="101"/>
    </row>
    <row r="2" spans="1:32" ht="13.15" customHeight="1" x14ac:dyDescent="0.25">
      <c r="A2" s="101" t="s">
        <v>191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32" x14ac:dyDescent="0.25">
      <c r="A3" s="101" t="s">
        <v>204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2" ht="13.15" customHeight="1" x14ac:dyDescent="0.25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32" ht="13.15" customHeight="1" x14ac:dyDescent="0.25">
      <c r="A5" s="101" t="s">
        <v>187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32" ht="13.15" customHeight="1" x14ac:dyDescent="0.25">
      <c r="R6" s="97"/>
      <c r="S6" s="97"/>
      <c r="T6" s="97"/>
      <c r="U6" s="97"/>
      <c r="V6" s="97"/>
      <c r="W6" s="97"/>
      <c r="X6" s="97"/>
      <c r="Y6" s="97"/>
      <c r="Z6" s="97"/>
      <c r="AA6" s="97"/>
    </row>
    <row r="7" spans="1:32" ht="19.149999999999999" customHeight="1" x14ac:dyDescent="0.25">
      <c r="A7" s="107" t="s">
        <v>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6.149999999999999" customHeight="1" x14ac:dyDescent="0.25">
      <c r="A8" s="107" t="s">
        <v>44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24" customHeight="1" x14ac:dyDescent="0.25">
      <c r="A9" s="106" t="s">
        <v>194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</row>
    <row r="10" spans="1:32" x14ac:dyDescent="0.25">
      <c r="T10" s="24"/>
      <c r="U10" s="24"/>
    </row>
    <row r="11" spans="1:32" s="49" customFormat="1" ht="33.6" customHeight="1" x14ac:dyDescent="0.25">
      <c r="A11" s="104" t="s">
        <v>22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 t="s">
        <v>17</v>
      </c>
      <c r="S11" s="104" t="s">
        <v>18</v>
      </c>
      <c r="T11" s="104" t="s">
        <v>62</v>
      </c>
      <c r="U11" s="104"/>
      <c r="V11" s="104"/>
      <c r="W11" s="104"/>
      <c r="X11" s="104"/>
      <c r="Y11" s="104"/>
      <c r="Z11" s="104" t="s">
        <v>14</v>
      </c>
      <c r="AA11" s="105"/>
      <c r="AB11" s="79"/>
      <c r="AC11" s="79"/>
      <c r="AD11" s="79"/>
      <c r="AE11" s="78"/>
      <c r="AF11" s="78"/>
    </row>
    <row r="12" spans="1:32" s="49" customFormat="1" ht="65.45" customHeight="1" x14ac:dyDescent="0.25">
      <c r="A12" s="103" t="s">
        <v>171</v>
      </c>
      <c r="B12" s="103"/>
      <c r="C12" s="103"/>
      <c r="D12" s="103" t="s">
        <v>0</v>
      </c>
      <c r="E12" s="103"/>
      <c r="F12" s="103" t="s">
        <v>26</v>
      </c>
      <c r="G12" s="103"/>
      <c r="H12" s="103" t="s">
        <v>27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5"/>
      <c r="S12" s="105"/>
      <c r="T12" s="99">
        <v>2015</v>
      </c>
      <c r="U12" s="99">
        <v>2016</v>
      </c>
      <c r="V12" s="99">
        <v>2017</v>
      </c>
      <c r="W12" s="99">
        <v>2018</v>
      </c>
      <c r="X12" s="99">
        <v>2019</v>
      </c>
      <c r="Y12" s="99">
        <v>2020</v>
      </c>
      <c r="Z12" s="99" t="s">
        <v>15</v>
      </c>
      <c r="AA12" s="99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5.9" customHeight="1" x14ac:dyDescent="0.25">
      <c r="A14" s="51" t="s">
        <v>23</v>
      </c>
      <c r="B14" s="51" t="s">
        <v>23</v>
      </c>
      <c r="C14" s="51" t="s">
        <v>23</v>
      </c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T28+T298</f>
        <v>1608712.7999999998</v>
      </c>
      <c r="U14" s="4">
        <f t="shared" si="0"/>
        <v>1228375.3</v>
      </c>
      <c r="V14" s="4">
        <f t="shared" si="0"/>
        <v>1889596.1</v>
      </c>
      <c r="W14" s="4">
        <f t="shared" si="0"/>
        <v>869968.2</v>
      </c>
      <c r="X14" s="4">
        <f t="shared" si="0"/>
        <v>711382.8</v>
      </c>
      <c r="Y14" s="4">
        <f t="shared" si="0"/>
        <v>725740.39999999991</v>
      </c>
      <c r="Z14" s="4">
        <f>T14+U14+V14+W14+X14+Y14</f>
        <v>7033775.5999999996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30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>
        <f t="shared" ref="Y22" si="5">Y31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Y23" si="6">T94</f>
        <v>223.1</v>
      </c>
      <c r="U23" s="8">
        <f t="shared" si="6"/>
        <v>315.7</v>
      </c>
      <c r="V23" s="8">
        <f t="shared" si="6"/>
        <v>104</v>
      </c>
      <c r="W23" s="8">
        <f t="shared" si="6"/>
        <v>7.6</v>
      </c>
      <c r="X23" s="8">
        <f t="shared" si="6"/>
        <v>19</v>
      </c>
      <c r="Y23" s="8">
        <f t="shared" si="6"/>
        <v>18.2</v>
      </c>
      <c r="Z23" s="5">
        <f t="shared" si="4"/>
        <v>687.6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7">T132</f>
        <v>6722.4</v>
      </c>
      <c r="U24" s="8">
        <f t="shared" si="7"/>
        <v>5804.6</v>
      </c>
      <c r="V24" s="8">
        <f t="shared" si="7"/>
        <v>5804.6</v>
      </c>
      <c r="W24" s="8">
        <f t="shared" si="7"/>
        <v>5804.6</v>
      </c>
      <c r="X24" s="8">
        <f t="shared" si="7"/>
        <v>5804.6</v>
      </c>
      <c r="Y24" s="8">
        <f t="shared" si="7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8">T139</f>
        <v>2000</v>
      </c>
      <c r="U25" s="21">
        <f t="shared" si="8"/>
        <v>2862</v>
      </c>
      <c r="V25" s="21">
        <f t="shared" si="8"/>
        <v>2500</v>
      </c>
      <c r="W25" s="21">
        <f t="shared" si="8"/>
        <v>2500</v>
      </c>
      <c r="X25" s="21">
        <f t="shared" si="8"/>
        <v>2300</v>
      </c>
      <c r="Y25" s="21">
        <f t="shared" si="8"/>
        <v>2300</v>
      </c>
      <c r="Z25" s="6">
        <f t="shared" si="4"/>
        <v>14462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9">T178</f>
        <v>58.2</v>
      </c>
      <c r="U26" s="8">
        <f t="shared" si="9"/>
        <v>27.765300000000003</v>
      </c>
      <c r="V26" s="8">
        <f t="shared" si="9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0">T300</f>
        <v>32718</v>
      </c>
      <c r="U27" s="8">
        <f t="shared" si="10"/>
        <v>19505</v>
      </c>
      <c r="V27" s="8">
        <f t="shared" si="10"/>
        <v>21910.6</v>
      </c>
      <c r="W27" s="8">
        <f t="shared" si="10"/>
        <v>26453.200000000001</v>
      </c>
      <c r="X27" s="8">
        <f t="shared" si="10"/>
        <v>26453.200000000001</v>
      </c>
      <c r="Y27" s="8">
        <f t="shared" si="10"/>
        <v>26453.200000000001</v>
      </c>
      <c r="Z27" s="5">
        <f t="shared" si="4"/>
        <v>153493.20000000001</v>
      </c>
      <c r="AA27" s="15">
        <v>2020</v>
      </c>
      <c r="AB27" s="46"/>
      <c r="AC27" s="46"/>
      <c r="AD27" s="46"/>
      <c r="AE27" s="1"/>
      <c r="AF27" s="1"/>
    </row>
    <row r="28" spans="1:32" ht="28.5" x14ac:dyDescent="0.25">
      <c r="A28" s="57" t="s">
        <v>23</v>
      </c>
      <c r="B28" s="57" t="s">
        <v>23</v>
      </c>
      <c r="C28" s="57" t="s">
        <v>23</v>
      </c>
      <c r="D28" s="57" t="s">
        <v>23</v>
      </c>
      <c r="E28" s="57" t="s">
        <v>33</v>
      </c>
      <c r="F28" s="57" t="s">
        <v>23</v>
      </c>
      <c r="G28" s="57" t="s">
        <v>32</v>
      </c>
      <c r="H28" s="57" t="s">
        <v>23</v>
      </c>
      <c r="I28" s="57" t="s">
        <v>31</v>
      </c>
      <c r="J28" s="57" t="s">
        <v>24</v>
      </c>
      <c r="K28" s="57" t="s">
        <v>23</v>
      </c>
      <c r="L28" s="57" t="s">
        <v>23</v>
      </c>
      <c r="M28" s="57" t="s">
        <v>23</v>
      </c>
      <c r="N28" s="57" t="s">
        <v>23</v>
      </c>
      <c r="O28" s="57" t="s">
        <v>23</v>
      </c>
      <c r="P28" s="57" t="s">
        <v>23</v>
      </c>
      <c r="Q28" s="57" t="s">
        <v>23</v>
      </c>
      <c r="R28" s="58" t="s">
        <v>85</v>
      </c>
      <c r="S28" s="7" t="s">
        <v>59</v>
      </c>
      <c r="T28" s="3">
        <f t="shared" ref="T28:Y28" si="11">T29+T93+T131+T177</f>
        <v>995047.89999999979</v>
      </c>
      <c r="U28" s="3">
        <f t="shared" si="11"/>
        <v>885042.6</v>
      </c>
      <c r="V28" s="3">
        <f t="shared" si="11"/>
        <v>1582705.6</v>
      </c>
      <c r="W28" s="3">
        <f t="shared" si="11"/>
        <v>698190.1</v>
      </c>
      <c r="X28" s="3">
        <f t="shared" si="11"/>
        <v>567211</v>
      </c>
      <c r="Y28" s="3">
        <f t="shared" si="11"/>
        <v>565108.6</v>
      </c>
      <c r="Z28" s="3">
        <f>T28+U28+V28+W28+X28+Y28</f>
        <v>5293305.7999999989</v>
      </c>
      <c r="AA28" s="7">
        <v>2020</v>
      </c>
    </row>
    <row r="29" spans="1:32" s="61" customFormat="1" ht="45" customHeight="1" x14ac:dyDescent="0.25">
      <c r="A29" s="59" t="s">
        <v>23</v>
      </c>
      <c r="B29" s="59" t="s">
        <v>23</v>
      </c>
      <c r="C29" s="59" t="s">
        <v>23</v>
      </c>
      <c r="D29" s="59" t="s">
        <v>23</v>
      </c>
      <c r="E29" s="59" t="s">
        <v>33</v>
      </c>
      <c r="F29" s="59" t="s">
        <v>23</v>
      </c>
      <c r="G29" s="59" t="s">
        <v>32</v>
      </c>
      <c r="H29" s="59" t="s">
        <v>23</v>
      </c>
      <c r="I29" s="59" t="s">
        <v>31</v>
      </c>
      <c r="J29" s="59" t="s">
        <v>24</v>
      </c>
      <c r="K29" s="59" t="s">
        <v>23</v>
      </c>
      <c r="L29" s="59" t="s">
        <v>24</v>
      </c>
      <c r="M29" s="59" t="s">
        <v>23</v>
      </c>
      <c r="N29" s="59" t="s">
        <v>23</v>
      </c>
      <c r="O29" s="59" t="s">
        <v>23</v>
      </c>
      <c r="P29" s="59" t="s">
        <v>23</v>
      </c>
      <c r="Q29" s="59" t="s">
        <v>23</v>
      </c>
      <c r="R29" s="60" t="s">
        <v>38</v>
      </c>
      <c r="S29" s="28" t="s">
        <v>59</v>
      </c>
      <c r="T29" s="16">
        <f>T33+T41+T44+T52+T55+T58+T60+T62+T66+T69+T71+T74+T79</f>
        <v>87304.3</v>
      </c>
      <c r="U29" s="16">
        <f>U33+U41+U44+U52+U55+U58+U60+U62+U66+U69+U71+U74</f>
        <v>18427.8</v>
      </c>
      <c r="V29" s="16">
        <f>V33+V41+V43+V52+V55+V58+V60+V62+V66+V69+V71+V74+V79+V81+V89</f>
        <v>166828.19999999998</v>
      </c>
      <c r="W29" s="16">
        <f>W33+W43+W81</f>
        <v>165047.70000000001</v>
      </c>
      <c r="X29" s="16">
        <f>X33</f>
        <v>107911.09999999999</v>
      </c>
      <c r="Y29" s="16">
        <f>Y33</f>
        <v>122268.7</v>
      </c>
      <c r="Z29" s="16">
        <f>Z33+Z41+Z43+Z52+Z55+Z58+Z60+Z62+Z66+Z69+Z71+Z74+Z79+Z81+Z89</f>
        <v>667787.80000000005</v>
      </c>
      <c r="AA29" s="28">
        <v>2020</v>
      </c>
      <c r="AB29" s="40"/>
      <c r="AC29" s="40"/>
      <c r="AD29" s="40"/>
      <c r="AE29" s="41"/>
      <c r="AF29" s="41"/>
    </row>
    <row r="30" spans="1:32" s="2" customFormat="1" ht="29.25" x14ac:dyDescent="0.25">
      <c r="A30" s="38"/>
      <c r="B30" s="38"/>
      <c r="C30" s="38"/>
      <c r="D30" s="38"/>
      <c r="E30" s="38"/>
      <c r="F30" s="38"/>
      <c r="G30" s="38"/>
      <c r="H30" s="38"/>
      <c r="I30" s="39"/>
      <c r="J30" s="38"/>
      <c r="K30" s="38"/>
      <c r="L30" s="38"/>
      <c r="M30" s="38"/>
      <c r="N30" s="38"/>
      <c r="O30" s="38"/>
      <c r="P30" s="38"/>
      <c r="Q30" s="38"/>
      <c r="R30" s="37" t="s">
        <v>86</v>
      </c>
      <c r="S30" s="15" t="s">
        <v>11</v>
      </c>
      <c r="T30" s="8"/>
      <c r="U30" s="8">
        <f>U49+U64+U67</f>
        <v>0.6</v>
      </c>
      <c r="V30" s="8"/>
      <c r="W30" s="8">
        <f>W49+W88</f>
        <v>1.6</v>
      </c>
      <c r="X30" s="8"/>
      <c r="Y30" s="8">
        <f>Y39</f>
        <v>3.03</v>
      </c>
      <c r="Z30" s="5">
        <f t="shared" si="4"/>
        <v>5.23</v>
      </c>
      <c r="AA30" s="15">
        <v>2020</v>
      </c>
      <c r="AB30" s="40"/>
      <c r="AC30" s="40"/>
      <c r="AD30" s="40"/>
      <c r="AE30" s="41"/>
      <c r="AF30" s="41"/>
    </row>
    <row r="31" spans="1:32" s="2" customFormat="1" ht="30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87</v>
      </c>
      <c r="S31" s="15" t="s">
        <v>60</v>
      </c>
      <c r="T31" s="8"/>
      <c r="U31" s="8">
        <f>U50+U65+U68</f>
        <v>18.7</v>
      </c>
      <c r="V31" s="8"/>
      <c r="W31" s="8"/>
      <c r="X31" s="8"/>
      <c r="Y31" s="8">
        <f>Y40</f>
        <v>13.3</v>
      </c>
      <c r="Z31" s="5">
        <f t="shared" si="4"/>
        <v>32</v>
      </c>
      <c r="AA31" s="15">
        <v>2020</v>
      </c>
      <c r="AB31" s="40"/>
      <c r="AC31" s="40"/>
      <c r="AD31" s="40"/>
      <c r="AE31" s="41"/>
      <c r="AF31" s="41"/>
    </row>
    <row r="32" spans="1:32" s="2" customFormat="1" ht="44.25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88</v>
      </c>
      <c r="S32" s="15" t="s">
        <v>11</v>
      </c>
      <c r="T32" s="8">
        <f>T54+T59</f>
        <v>1.2</v>
      </c>
      <c r="U32" s="8">
        <f>U57</f>
        <v>0.7</v>
      </c>
      <c r="V32" s="8"/>
      <c r="W32" s="8"/>
      <c r="X32" s="8"/>
      <c r="Y32" s="8"/>
      <c r="Z32" s="5">
        <f t="shared" si="4"/>
        <v>1.9</v>
      </c>
      <c r="AA32" s="15">
        <v>2016</v>
      </c>
      <c r="AB32" s="40"/>
      <c r="AC32" s="40"/>
      <c r="AD32" s="40"/>
      <c r="AE32" s="41"/>
      <c r="AF32" s="41"/>
    </row>
    <row r="33" spans="1:32" s="2" customFormat="1" ht="47.45" customHeight="1" x14ac:dyDescent="0.25">
      <c r="A33" s="66" t="s">
        <v>23</v>
      </c>
      <c r="B33" s="66" t="s">
        <v>23</v>
      </c>
      <c r="C33" s="66" t="s">
        <v>39</v>
      </c>
      <c r="D33" s="66" t="s">
        <v>23</v>
      </c>
      <c r="E33" s="66" t="s">
        <v>33</v>
      </c>
      <c r="F33" s="66" t="s">
        <v>23</v>
      </c>
      <c r="G33" s="66" t="s">
        <v>32</v>
      </c>
      <c r="H33" s="66" t="s">
        <v>23</v>
      </c>
      <c r="I33" s="66" t="s">
        <v>31</v>
      </c>
      <c r="J33" s="66" t="s">
        <v>24</v>
      </c>
      <c r="K33" s="66" t="s">
        <v>23</v>
      </c>
      <c r="L33" s="66" t="s">
        <v>24</v>
      </c>
      <c r="M33" s="66" t="s">
        <v>23</v>
      </c>
      <c r="N33" s="66" t="s">
        <v>23</v>
      </c>
      <c r="O33" s="66" t="s">
        <v>23</v>
      </c>
      <c r="P33" s="66" t="s">
        <v>23</v>
      </c>
      <c r="Q33" s="66" t="s">
        <v>23</v>
      </c>
      <c r="R33" s="67" t="s">
        <v>47</v>
      </c>
      <c r="S33" s="68" t="s">
        <v>59</v>
      </c>
      <c r="T33" s="70">
        <f>T34+T35</f>
        <v>30000</v>
      </c>
      <c r="U33" s="70">
        <f>U34+U35</f>
        <v>734.9</v>
      </c>
      <c r="V33" s="70">
        <f>V34+V35</f>
        <v>2948.4</v>
      </c>
      <c r="W33" s="70">
        <f t="shared" ref="W33:Y33" si="12">W34+W35</f>
        <v>40466.700000000004</v>
      </c>
      <c r="X33" s="70">
        <f t="shared" si="12"/>
        <v>107911.09999999999</v>
      </c>
      <c r="Y33" s="70">
        <f t="shared" si="12"/>
        <v>122268.7</v>
      </c>
      <c r="Z33" s="70">
        <f t="shared" si="4"/>
        <v>304329.8</v>
      </c>
      <c r="AA33" s="95">
        <v>2020</v>
      </c>
      <c r="AB33" s="40"/>
      <c r="AC33" s="40"/>
      <c r="AD33" s="40"/>
      <c r="AE33" s="41"/>
      <c r="AF33" s="41"/>
    </row>
    <row r="34" spans="1:32" s="2" customFormat="1" ht="46.9" customHeight="1" x14ac:dyDescent="0.25">
      <c r="A34" s="66" t="s">
        <v>23</v>
      </c>
      <c r="B34" s="66" t="s">
        <v>23</v>
      </c>
      <c r="C34" s="66" t="s">
        <v>39</v>
      </c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24</v>
      </c>
      <c r="R34" s="67" t="s">
        <v>47</v>
      </c>
      <c r="S34" s="68" t="s">
        <v>59</v>
      </c>
      <c r="T34" s="69">
        <f>130000-100000</f>
        <v>30000</v>
      </c>
      <c r="U34" s="69">
        <f>1000-262.1-3</f>
        <v>734.9</v>
      </c>
      <c r="V34" s="69">
        <f>450+2940-441.6</f>
        <v>2948.4</v>
      </c>
      <c r="W34" s="69">
        <v>7133.3</v>
      </c>
      <c r="X34" s="69">
        <v>19022.2</v>
      </c>
      <c r="Y34" s="69">
        <v>21553.200000000001</v>
      </c>
      <c r="Z34" s="70">
        <f t="shared" si="4"/>
        <v>81392</v>
      </c>
      <c r="AA34" s="68">
        <v>2020</v>
      </c>
      <c r="AB34" s="92"/>
      <c r="AC34" s="84"/>
      <c r="AD34" s="40"/>
      <c r="AE34" s="41"/>
      <c r="AF34" s="41"/>
    </row>
    <row r="35" spans="1:32" s="2" customFormat="1" ht="48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178</v>
      </c>
      <c r="N35" s="66" t="s">
        <v>23</v>
      </c>
      <c r="O35" s="66" t="s">
        <v>39</v>
      </c>
      <c r="P35" s="66" t="s">
        <v>24</v>
      </c>
      <c r="Q35" s="66" t="s">
        <v>24</v>
      </c>
      <c r="R35" s="67" t="s">
        <v>47</v>
      </c>
      <c r="S35" s="68" t="s">
        <v>59</v>
      </c>
      <c r="T35" s="69"/>
      <c r="U35" s="69"/>
      <c r="V35" s="69"/>
      <c r="W35" s="69">
        <v>33333.4</v>
      </c>
      <c r="X35" s="69">
        <v>88888.9</v>
      </c>
      <c r="Y35" s="69">
        <v>100715.5</v>
      </c>
      <c r="Z35" s="70">
        <f t="shared" si="4"/>
        <v>222937.8</v>
      </c>
      <c r="AA35" s="68">
        <v>2020</v>
      </c>
      <c r="AB35" s="46"/>
      <c r="AC35" s="46"/>
      <c r="AD35" s="40"/>
      <c r="AE35" s="41"/>
      <c r="AF35" s="41"/>
    </row>
    <row r="36" spans="1:32" s="41" customFormat="1" ht="44.25" x14ac:dyDescent="0.25">
      <c r="A36" s="38"/>
      <c r="B36" s="38"/>
      <c r="C36" s="38"/>
      <c r="D36" s="38"/>
      <c r="E36" s="38"/>
      <c r="F36" s="38"/>
      <c r="G36" s="38"/>
      <c r="H36" s="38"/>
      <c r="I36" s="39"/>
      <c r="J36" s="38"/>
      <c r="K36" s="38"/>
      <c r="L36" s="38"/>
      <c r="M36" s="38"/>
      <c r="N36" s="38"/>
      <c r="O36" s="38"/>
      <c r="P36" s="38"/>
      <c r="Q36" s="38"/>
      <c r="R36" s="37" t="s">
        <v>235</v>
      </c>
      <c r="S36" s="15" t="s">
        <v>45</v>
      </c>
      <c r="T36" s="8"/>
      <c r="U36" s="21">
        <v>1</v>
      </c>
      <c r="V36" s="21"/>
      <c r="W36" s="5"/>
      <c r="X36" s="5"/>
      <c r="Y36" s="5"/>
      <c r="Z36" s="6">
        <f>SUM(T36:Y36)</f>
        <v>1</v>
      </c>
      <c r="AA36" s="15">
        <v>2016</v>
      </c>
      <c r="AB36" s="46"/>
      <c r="AC36" s="40"/>
      <c r="AD36" s="40"/>
    </row>
    <row r="37" spans="1:32" s="41" customFormat="1" ht="29.25" x14ac:dyDescent="0.25">
      <c r="A37" s="38"/>
      <c r="B37" s="38"/>
      <c r="C37" s="38"/>
      <c r="D37" s="38"/>
      <c r="E37" s="38"/>
      <c r="F37" s="38"/>
      <c r="G37" s="38"/>
      <c r="H37" s="38"/>
      <c r="I37" s="39"/>
      <c r="J37" s="38"/>
      <c r="K37" s="38"/>
      <c r="L37" s="38"/>
      <c r="M37" s="38"/>
      <c r="N37" s="38"/>
      <c r="O37" s="38"/>
      <c r="P37" s="38"/>
      <c r="Q37" s="38"/>
      <c r="R37" s="37" t="s">
        <v>236</v>
      </c>
      <c r="S37" s="15" t="s">
        <v>54</v>
      </c>
      <c r="T37" s="8"/>
      <c r="U37" s="21"/>
      <c r="V37" s="21">
        <v>1</v>
      </c>
      <c r="W37" s="5"/>
      <c r="X37" s="5"/>
      <c r="Y37" s="5"/>
      <c r="Z37" s="6">
        <f>SUM(T37:Y37)</f>
        <v>1</v>
      </c>
      <c r="AA37" s="15">
        <v>2017</v>
      </c>
      <c r="AB37" s="46"/>
      <c r="AC37" s="40"/>
      <c r="AD37" s="40"/>
    </row>
    <row r="38" spans="1:32" s="41" customFormat="1" ht="30" x14ac:dyDescent="0.25">
      <c r="A38" s="38"/>
      <c r="B38" s="38"/>
      <c r="C38" s="38"/>
      <c r="D38" s="38"/>
      <c r="E38" s="38"/>
      <c r="F38" s="38"/>
      <c r="G38" s="38"/>
      <c r="H38" s="38"/>
      <c r="I38" s="39"/>
      <c r="J38" s="38"/>
      <c r="K38" s="38"/>
      <c r="L38" s="38"/>
      <c r="M38" s="38"/>
      <c r="N38" s="38"/>
      <c r="O38" s="38"/>
      <c r="P38" s="38"/>
      <c r="Q38" s="38"/>
      <c r="R38" s="17" t="s">
        <v>241</v>
      </c>
      <c r="S38" s="15" t="s">
        <v>10</v>
      </c>
      <c r="T38" s="21"/>
      <c r="U38" s="21"/>
      <c r="V38" s="21"/>
      <c r="W38" s="8">
        <v>15</v>
      </c>
      <c r="X38" s="8">
        <v>39.799999999999997</v>
      </c>
      <c r="Y38" s="8">
        <v>45.2</v>
      </c>
      <c r="Z38" s="5">
        <f>W38+X38+Y38</f>
        <v>100</v>
      </c>
      <c r="AA38" s="18">
        <v>2020</v>
      </c>
      <c r="AB38" s="46"/>
      <c r="AC38" s="40"/>
      <c r="AD38" s="40"/>
    </row>
    <row r="39" spans="1:32" s="41" customFormat="1" ht="29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242</v>
      </c>
      <c r="S39" s="15" t="s">
        <v>11</v>
      </c>
      <c r="T39" s="8"/>
      <c r="U39" s="21"/>
      <c r="V39" s="21"/>
      <c r="W39" s="5"/>
      <c r="X39" s="5"/>
      <c r="Y39" s="8">
        <v>3.03</v>
      </c>
      <c r="Z39" s="5">
        <f t="shared" ref="Z39:Z40" si="13">W39+X39+Y39</f>
        <v>3.03</v>
      </c>
      <c r="AA39" s="15">
        <v>2020</v>
      </c>
      <c r="AB39" s="46"/>
      <c r="AC39" s="40"/>
      <c r="AD39" s="40"/>
    </row>
    <row r="40" spans="1:32" s="41" customFormat="1" ht="30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243</v>
      </c>
      <c r="S40" s="15" t="s">
        <v>60</v>
      </c>
      <c r="T40" s="8"/>
      <c r="U40" s="21"/>
      <c r="V40" s="21"/>
      <c r="W40" s="5"/>
      <c r="X40" s="5"/>
      <c r="Y40" s="8">
        <v>13.3</v>
      </c>
      <c r="Z40" s="5">
        <f t="shared" si="13"/>
        <v>13.3</v>
      </c>
      <c r="AA40" s="15">
        <v>2020</v>
      </c>
      <c r="AB40" s="46"/>
      <c r="AC40" s="40"/>
      <c r="AD40" s="40"/>
    </row>
    <row r="41" spans="1:32" s="2" customFormat="1" ht="48" customHeight="1" x14ac:dyDescent="0.25">
      <c r="A41" s="66" t="s">
        <v>23</v>
      </c>
      <c r="B41" s="66" t="s">
        <v>23</v>
      </c>
      <c r="C41" s="66" t="s">
        <v>39</v>
      </c>
      <c r="D41" s="66" t="s">
        <v>23</v>
      </c>
      <c r="E41" s="66" t="s">
        <v>33</v>
      </c>
      <c r="F41" s="66" t="s">
        <v>23</v>
      </c>
      <c r="G41" s="66" t="s">
        <v>32</v>
      </c>
      <c r="H41" s="66" t="s">
        <v>23</v>
      </c>
      <c r="I41" s="66" t="s">
        <v>31</v>
      </c>
      <c r="J41" s="66" t="s">
        <v>24</v>
      </c>
      <c r="K41" s="66" t="s">
        <v>23</v>
      </c>
      <c r="L41" s="66" t="s">
        <v>24</v>
      </c>
      <c r="M41" s="66" t="s">
        <v>23</v>
      </c>
      <c r="N41" s="66" t="s">
        <v>25</v>
      </c>
      <c r="O41" s="66"/>
      <c r="P41" s="66"/>
      <c r="Q41" s="66"/>
      <c r="R41" s="67" t="s">
        <v>90</v>
      </c>
      <c r="S41" s="68" t="s">
        <v>59</v>
      </c>
      <c r="T41" s="69">
        <v>900</v>
      </c>
      <c r="U41" s="70"/>
      <c r="V41" s="70"/>
      <c r="W41" s="70"/>
      <c r="X41" s="70"/>
      <c r="Y41" s="70"/>
      <c r="Z41" s="70">
        <f t="shared" si="4"/>
        <v>900</v>
      </c>
      <c r="AA41" s="68">
        <v>2015</v>
      </c>
      <c r="AB41" s="40"/>
      <c r="AC41" s="40"/>
      <c r="AD41" s="40"/>
      <c r="AE41" s="41"/>
      <c r="AF41" s="41"/>
    </row>
    <row r="42" spans="1:32" s="41" customFormat="1" ht="45.6" customHeight="1" x14ac:dyDescent="0.25">
      <c r="A42" s="39"/>
      <c r="B42" s="39"/>
      <c r="C42" s="39"/>
      <c r="D42" s="39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67</v>
      </c>
      <c r="S42" s="15" t="s">
        <v>54</v>
      </c>
      <c r="T42" s="21">
        <v>1</v>
      </c>
      <c r="U42" s="21"/>
      <c r="V42" s="21"/>
      <c r="W42" s="21"/>
      <c r="X42" s="21"/>
      <c r="Y42" s="21"/>
      <c r="Z42" s="6">
        <f>T42</f>
        <v>1</v>
      </c>
      <c r="AA42" s="15">
        <v>2015</v>
      </c>
      <c r="AB42" s="40"/>
      <c r="AC42" s="40"/>
      <c r="AD42" s="40"/>
    </row>
    <row r="43" spans="1:32" s="41" customFormat="1" ht="45.6" customHeight="1" x14ac:dyDescent="0.25">
      <c r="A43" s="66" t="s">
        <v>23</v>
      </c>
      <c r="B43" s="66" t="s">
        <v>23</v>
      </c>
      <c r="C43" s="66" t="s">
        <v>39</v>
      </c>
      <c r="D43" s="66" t="s">
        <v>23</v>
      </c>
      <c r="E43" s="66" t="s">
        <v>33</v>
      </c>
      <c r="F43" s="66" t="s">
        <v>23</v>
      </c>
      <c r="G43" s="66" t="s">
        <v>32</v>
      </c>
      <c r="H43" s="66" t="s">
        <v>23</v>
      </c>
      <c r="I43" s="66" t="s">
        <v>31</v>
      </c>
      <c r="J43" s="66" t="s">
        <v>24</v>
      </c>
      <c r="K43" s="66" t="s">
        <v>23</v>
      </c>
      <c r="L43" s="66" t="s">
        <v>24</v>
      </c>
      <c r="M43" s="66" t="s">
        <v>23</v>
      </c>
      <c r="N43" s="66" t="s">
        <v>23</v>
      </c>
      <c r="O43" s="66" t="s">
        <v>23</v>
      </c>
      <c r="P43" s="66" t="s">
        <v>23</v>
      </c>
      <c r="Q43" s="66" t="s">
        <v>23</v>
      </c>
      <c r="R43" s="67" t="s">
        <v>91</v>
      </c>
      <c r="S43" s="68" t="s">
        <v>59</v>
      </c>
      <c r="T43" s="70">
        <f>T44</f>
        <v>20000</v>
      </c>
      <c r="U43" s="70">
        <f>U44</f>
        <v>989</v>
      </c>
      <c r="V43" s="70">
        <f>V44+V45+V46</f>
        <v>78681.899999999994</v>
      </c>
      <c r="W43" s="70">
        <f>W44+W45+W46+W47</f>
        <v>30638.2</v>
      </c>
      <c r="X43" s="70"/>
      <c r="Y43" s="70"/>
      <c r="Z43" s="70">
        <f t="shared" ref="Z43" si="14">T43+U43+V43+W43+X43+Y43</f>
        <v>130309.09999999999</v>
      </c>
      <c r="AA43" s="68">
        <v>2019</v>
      </c>
      <c r="AB43" s="40"/>
      <c r="AC43" s="40"/>
      <c r="AD43" s="40"/>
    </row>
    <row r="44" spans="1:32" s="2" customFormat="1" ht="45" customHeight="1" x14ac:dyDescent="0.25">
      <c r="A44" s="66" t="s">
        <v>23</v>
      </c>
      <c r="B44" s="66" t="s">
        <v>23</v>
      </c>
      <c r="C44" s="66" t="s">
        <v>39</v>
      </c>
      <c r="D44" s="66" t="s">
        <v>23</v>
      </c>
      <c r="E44" s="66" t="s">
        <v>33</v>
      </c>
      <c r="F44" s="66" t="s">
        <v>23</v>
      </c>
      <c r="G44" s="66" t="s">
        <v>32</v>
      </c>
      <c r="H44" s="66" t="s">
        <v>23</v>
      </c>
      <c r="I44" s="66" t="s">
        <v>31</v>
      </c>
      <c r="J44" s="66" t="s">
        <v>24</v>
      </c>
      <c r="K44" s="66" t="s">
        <v>23</v>
      </c>
      <c r="L44" s="66" t="s">
        <v>24</v>
      </c>
      <c r="M44" s="66" t="s">
        <v>23</v>
      </c>
      <c r="N44" s="66" t="s">
        <v>23</v>
      </c>
      <c r="O44" s="66" t="s">
        <v>23</v>
      </c>
      <c r="P44" s="66" t="s">
        <v>23</v>
      </c>
      <c r="Q44" s="66" t="s">
        <v>34</v>
      </c>
      <c r="R44" s="67" t="s">
        <v>91</v>
      </c>
      <c r="S44" s="68" t="s">
        <v>59</v>
      </c>
      <c r="T44" s="69">
        <v>20000</v>
      </c>
      <c r="U44" s="69">
        <f>1000-11</f>
        <v>989</v>
      </c>
      <c r="V44" s="69">
        <v>820</v>
      </c>
      <c r="W44" s="69">
        <v>5400.8</v>
      </c>
      <c r="X44" s="69"/>
      <c r="Y44" s="70"/>
      <c r="Z44" s="70">
        <f t="shared" si="4"/>
        <v>27209.8</v>
      </c>
      <c r="AA44" s="68">
        <v>2018</v>
      </c>
      <c r="AB44" s="46"/>
      <c r="AC44" s="40"/>
      <c r="AD44" s="40"/>
      <c r="AE44" s="41"/>
      <c r="AF44" s="41"/>
    </row>
    <row r="45" spans="1:32" s="2" customFormat="1" ht="45" hidden="1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178</v>
      </c>
      <c r="N45" s="66" t="s">
        <v>23</v>
      </c>
      <c r="O45" s="66" t="s">
        <v>24</v>
      </c>
      <c r="P45" s="66" t="s">
        <v>34</v>
      </c>
      <c r="Q45" s="66" t="s">
        <v>205</v>
      </c>
      <c r="R45" s="67" t="s">
        <v>91</v>
      </c>
      <c r="S45" s="68" t="s">
        <v>59</v>
      </c>
      <c r="T45" s="69"/>
      <c r="U45" s="69"/>
      <c r="V45" s="69"/>
      <c r="W45" s="69"/>
      <c r="X45" s="69"/>
      <c r="Y45" s="70"/>
      <c r="Z45" s="70">
        <f t="shared" ref="Z45" si="15">T45+U45+V45+W45+X45+Y45</f>
        <v>0</v>
      </c>
      <c r="AA45" s="68">
        <v>2017</v>
      </c>
      <c r="AB45" s="46"/>
      <c r="AC45" s="40"/>
      <c r="AD45" s="40"/>
      <c r="AE45" s="41"/>
      <c r="AF45" s="41"/>
    </row>
    <row r="46" spans="1:32" s="2" customFormat="1" ht="45" customHeight="1" x14ac:dyDescent="0.25">
      <c r="A46" s="66" t="s">
        <v>23</v>
      </c>
      <c r="B46" s="66" t="s">
        <v>23</v>
      </c>
      <c r="C46" s="66" t="s">
        <v>39</v>
      </c>
      <c r="D46" s="66" t="s">
        <v>23</v>
      </c>
      <c r="E46" s="66" t="s">
        <v>33</v>
      </c>
      <c r="F46" s="66" t="s">
        <v>23</v>
      </c>
      <c r="G46" s="66" t="s">
        <v>32</v>
      </c>
      <c r="H46" s="66" t="s">
        <v>23</v>
      </c>
      <c r="I46" s="66" t="s">
        <v>31</v>
      </c>
      <c r="J46" s="66" t="s">
        <v>24</v>
      </c>
      <c r="K46" s="66" t="s">
        <v>23</v>
      </c>
      <c r="L46" s="66" t="s">
        <v>24</v>
      </c>
      <c r="M46" s="66" t="s">
        <v>24</v>
      </c>
      <c r="N46" s="66" t="s">
        <v>23</v>
      </c>
      <c r="O46" s="66" t="s">
        <v>24</v>
      </c>
      <c r="P46" s="66" t="s">
        <v>34</v>
      </c>
      <c r="Q46" s="66" t="s">
        <v>208</v>
      </c>
      <c r="R46" s="67" t="s">
        <v>91</v>
      </c>
      <c r="S46" s="68" t="s">
        <v>59</v>
      </c>
      <c r="T46" s="69"/>
      <c r="U46" s="69"/>
      <c r="V46" s="69">
        <v>77861.899999999994</v>
      </c>
      <c r="W46" s="69"/>
      <c r="X46" s="69"/>
      <c r="Y46" s="70"/>
      <c r="Z46" s="70">
        <f t="shared" ref="Z46" si="16">T46+U46+V46+W46+X46+Y46</f>
        <v>77861.899999999994</v>
      </c>
      <c r="AA46" s="68">
        <v>2017</v>
      </c>
      <c r="AB46" s="46"/>
      <c r="AC46" s="40"/>
      <c r="AD46" s="40"/>
      <c r="AE46" s="41"/>
      <c r="AF46" s="41"/>
    </row>
    <row r="47" spans="1:32" s="2" customFormat="1" ht="45" customHeight="1" x14ac:dyDescent="0.25">
      <c r="A47" s="66" t="s">
        <v>23</v>
      </c>
      <c r="B47" s="66" t="s">
        <v>23</v>
      </c>
      <c r="C47" s="66" t="s">
        <v>39</v>
      </c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178</v>
      </c>
      <c r="N47" s="66" t="s">
        <v>23</v>
      </c>
      <c r="O47" s="66" t="s">
        <v>39</v>
      </c>
      <c r="P47" s="66" t="s">
        <v>24</v>
      </c>
      <c r="Q47" s="66" t="s">
        <v>25</v>
      </c>
      <c r="R47" s="67" t="s">
        <v>91</v>
      </c>
      <c r="S47" s="68" t="s">
        <v>59</v>
      </c>
      <c r="T47" s="69"/>
      <c r="U47" s="69"/>
      <c r="V47" s="69"/>
      <c r="W47" s="69">
        <v>25237.4</v>
      </c>
      <c r="X47" s="69"/>
      <c r="Y47" s="70"/>
      <c r="Z47" s="70">
        <f t="shared" ref="Z47" si="17">T47+U47+V47+W47+X47+Y47</f>
        <v>25237.4</v>
      </c>
      <c r="AA47" s="68">
        <v>2018</v>
      </c>
      <c r="AB47" s="46"/>
      <c r="AC47" s="40"/>
      <c r="AD47" s="40"/>
      <c r="AE47" s="41"/>
      <c r="AF47" s="41"/>
    </row>
    <row r="48" spans="1:32" s="41" customFormat="1" ht="29.25" x14ac:dyDescent="0.25">
      <c r="A48" s="39"/>
      <c r="B48" s="39"/>
      <c r="C48" s="39"/>
      <c r="D48" s="39"/>
      <c r="E48" s="38"/>
      <c r="F48" s="38"/>
      <c r="G48" s="38"/>
      <c r="H48" s="38"/>
      <c r="I48" s="39"/>
      <c r="J48" s="38"/>
      <c r="K48" s="38"/>
      <c r="L48" s="38"/>
      <c r="M48" s="38"/>
      <c r="N48" s="38"/>
      <c r="O48" s="38"/>
      <c r="P48" s="38"/>
      <c r="Q48" s="38"/>
      <c r="R48" s="37" t="s">
        <v>64</v>
      </c>
      <c r="S48" s="15" t="s">
        <v>54</v>
      </c>
      <c r="T48" s="21">
        <v>1</v>
      </c>
      <c r="U48" s="21"/>
      <c r="V48" s="21"/>
      <c r="W48" s="21"/>
      <c r="X48" s="21"/>
      <c r="Y48" s="21"/>
      <c r="Z48" s="6">
        <v>1</v>
      </c>
      <c r="AA48" s="15">
        <v>2015</v>
      </c>
      <c r="AB48" s="40"/>
      <c r="AC48" s="40"/>
      <c r="AD48" s="40"/>
    </row>
    <row r="49" spans="1:32" s="41" customFormat="1" ht="29.25" x14ac:dyDescent="0.25">
      <c r="A49" s="38"/>
      <c r="B49" s="38"/>
      <c r="C49" s="38"/>
      <c r="D49" s="38"/>
      <c r="E49" s="38"/>
      <c r="F49" s="38"/>
      <c r="G49" s="38"/>
      <c r="H49" s="38"/>
      <c r="I49" s="39"/>
      <c r="J49" s="38"/>
      <c r="K49" s="38"/>
      <c r="L49" s="38"/>
      <c r="M49" s="38"/>
      <c r="N49" s="38"/>
      <c r="O49" s="38"/>
      <c r="P49" s="38"/>
      <c r="Q49" s="38"/>
      <c r="R49" s="37" t="s">
        <v>244</v>
      </c>
      <c r="S49" s="15" t="s">
        <v>11</v>
      </c>
      <c r="T49" s="8"/>
      <c r="U49" s="8"/>
      <c r="V49" s="8"/>
      <c r="W49" s="8">
        <v>1.2</v>
      </c>
      <c r="X49" s="8"/>
      <c r="Y49" s="8"/>
      <c r="Z49" s="5">
        <f>V49+W49+X49</f>
        <v>1.2</v>
      </c>
      <c r="AA49" s="15">
        <v>2018</v>
      </c>
      <c r="AB49" s="40"/>
      <c r="AC49" s="40"/>
      <c r="AD49" s="40"/>
    </row>
    <row r="50" spans="1:32" s="41" customFormat="1" ht="27.6" customHeight="1" x14ac:dyDescent="0.25">
      <c r="A50" s="38"/>
      <c r="B50" s="38"/>
      <c r="C50" s="38"/>
      <c r="D50" s="38"/>
      <c r="E50" s="38"/>
      <c r="F50" s="38"/>
      <c r="G50" s="38"/>
      <c r="H50" s="38"/>
      <c r="I50" s="39"/>
      <c r="J50" s="38"/>
      <c r="K50" s="38"/>
      <c r="L50" s="38"/>
      <c r="M50" s="38"/>
      <c r="N50" s="38"/>
      <c r="O50" s="38"/>
      <c r="P50" s="38"/>
      <c r="Q50" s="38"/>
      <c r="R50" s="37" t="s">
        <v>245</v>
      </c>
      <c r="S50" s="15" t="s">
        <v>54</v>
      </c>
      <c r="T50" s="8"/>
      <c r="U50" s="21"/>
      <c r="V50" s="18">
        <v>1</v>
      </c>
      <c r="W50" s="8"/>
      <c r="X50" s="8"/>
      <c r="Y50" s="8"/>
      <c r="Z50" s="6">
        <f>T50+U50+V50+W50+X50+Y50</f>
        <v>1</v>
      </c>
      <c r="AA50" s="15">
        <v>2017</v>
      </c>
      <c r="AB50" s="40"/>
      <c r="AC50" s="40"/>
      <c r="AD50" s="40"/>
    </row>
    <row r="51" spans="1:32" s="41" customFormat="1" ht="31.15" customHeight="1" x14ac:dyDescent="0.25">
      <c r="A51" s="38"/>
      <c r="B51" s="38"/>
      <c r="C51" s="38"/>
      <c r="D51" s="38"/>
      <c r="E51" s="38"/>
      <c r="F51" s="38"/>
      <c r="G51" s="38"/>
      <c r="H51" s="38"/>
      <c r="I51" s="39"/>
      <c r="J51" s="38"/>
      <c r="K51" s="38"/>
      <c r="L51" s="38"/>
      <c r="M51" s="38"/>
      <c r="N51" s="38"/>
      <c r="O51" s="38"/>
      <c r="P51" s="38"/>
      <c r="Q51" s="38"/>
      <c r="R51" s="37" t="s">
        <v>193</v>
      </c>
      <c r="S51" s="15" t="s">
        <v>45</v>
      </c>
      <c r="T51" s="8"/>
      <c r="U51" s="21">
        <v>1</v>
      </c>
      <c r="V51" s="8"/>
      <c r="W51" s="8"/>
      <c r="X51" s="8"/>
      <c r="Y51" s="8"/>
      <c r="Z51" s="6">
        <f>T51+U51+V51+W51+X51+Y51</f>
        <v>1</v>
      </c>
      <c r="AA51" s="15">
        <v>2016</v>
      </c>
      <c r="AB51" s="46"/>
      <c r="AC51" s="40"/>
      <c r="AD51" s="40"/>
    </row>
    <row r="52" spans="1:32" s="2" customFormat="1" ht="45.6" customHeight="1" x14ac:dyDescent="0.25">
      <c r="A52" s="66" t="s">
        <v>23</v>
      </c>
      <c r="B52" s="66" t="s">
        <v>23</v>
      </c>
      <c r="C52" s="66" t="s">
        <v>39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23</v>
      </c>
      <c r="N52" s="66" t="s">
        <v>33</v>
      </c>
      <c r="O52" s="66"/>
      <c r="P52" s="66"/>
      <c r="Q52" s="66"/>
      <c r="R52" s="67" t="s">
        <v>57</v>
      </c>
      <c r="S52" s="68" t="s">
        <v>59</v>
      </c>
      <c r="T52" s="69">
        <f>10450-1008</f>
        <v>9442</v>
      </c>
      <c r="U52" s="69"/>
      <c r="V52" s="69"/>
      <c r="W52" s="69"/>
      <c r="X52" s="69"/>
      <c r="Y52" s="69"/>
      <c r="Z52" s="70">
        <f t="shared" si="4"/>
        <v>9442</v>
      </c>
      <c r="AA52" s="68">
        <v>2015</v>
      </c>
      <c r="AB52" s="40"/>
      <c r="AC52" s="40"/>
      <c r="AD52" s="40"/>
      <c r="AE52" s="41"/>
      <c r="AF52" s="41"/>
    </row>
    <row r="53" spans="1:32" s="41" customFormat="1" ht="31.9" customHeight="1" x14ac:dyDescent="0.25">
      <c r="A53" s="39"/>
      <c r="B53" s="39"/>
      <c r="C53" s="39"/>
      <c r="D53" s="39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0"/>
      <c r="AC53" s="40"/>
      <c r="AD53" s="40"/>
    </row>
    <row r="54" spans="1:32" s="41" customFormat="1" ht="45" x14ac:dyDescent="0.2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17" t="s">
        <v>66</v>
      </c>
      <c r="S54" s="15" t="s">
        <v>11</v>
      </c>
      <c r="T54" s="8">
        <v>0.9</v>
      </c>
      <c r="U54" s="8"/>
      <c r="V54" s="8"/>
      <c r="W54" s="8"/>
      <c r="X54" s="8"/>
      <c r="Y54" s="8"/>
      <c r="Z54" s="5">
        <f t="shared" si="4"/>
        <v>0.9</v>
      </c>
      <c r="AA54" s="15">
        <v>2015</v>
      </c>
      <c r="AB54" s="40"/>
      <c r="AC54" s="40"/>
      <c r="AD54" s="40"/>
    </row>
    <row r="55" spans="1:32" s="2" customFormat="1" ht="46.15" customHeight="1" x14ac:dyDescent="0.25">
      <c r="A55" s="66" t="s">
        <v>23</v>
      </c>
      <c r="B55" s="66" t="s">
        <v>23</v>
      </c>
      <c r="C55" s="66" t="s">
        <v>39</v>
      </c>
      <c r="D55" s="66" t="s">
        <v>23</v>
      </c>
      <c r="E55" s="66" t="s">
        <v>33</v>
      </c>
      <c r="F55" s="66" t="s">
        <v>23</v>
      </c>
      <c r="G55" s="66" t="s">
        <v>32</v>
      </c>
      <c r="H55" s="66" t="s">
        <v>23</v>
      </c>
      <c r="I55" s="66" t="s">
        <v>31</v>
      </c>
      <c r="J55" s="66" t="s">
        <v>24</v>
      </c>
      <c r="K55" s="66" t="s">
        <v>23</v>
      </c>
      <c r="L55" s="66" t="s">
        <v>24</v>
      </c>
      <c r="M55" s="66" t="s">
        <v>23</v>
      </c>
      <c r="N55" s="66" t="s">
        <v>23</v>
      </c>
      <c r="O55" s="66" t="s">
        <v>23</v>
      </c>
      <c r="P55" s="66" t="s">
        <v>23</v>
      </c>
      <c r="Q55" s="66" t="s">
        <v>30</v>
      </c>
      <c r="R55" s="67" t="s">
        <v>92</v>
      </c>
      <c r="S55" s="68" t="s">
        <v>59</v>
      </c>
      <c r="T55" s="69">
        <f>8000-833</f>
        <v>7167</v>
      </c>
      <c r="U55" s="69">
        <f>21200-3425-9425-393-583</f>
        <v>7374</v>
      </c>
      <c r="V55" s="70"/>
      <c r="W55" s="70"/>
      <c r="X55" s="70"/>
      <c r="Y55" s="70"/>
      <c r="Z55" s="70">
        <f t="shared" si="4"/>
        <v>14541</v>
      </c>
      <c r="AA55" s="68">
        <v>2016</v>
      </c>
      <c r="AB55" s="46"/>
      <c r="AC55" s="40"/>
      <c r="AD55" s="40"/>
      <c r="AE55" s="41"/>
      <c r="AF55" s="41"/>
    </row>
    <row r="56" spans="1:32" s="41" customFormat="1" ht="29.25" x14ac:dyDescent="0.25">
      <c r="A56" s="39"/>
      <c r="B56" s="39"/>
      <c r="C56" s="39"/>
      <c r="D56" s="39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64</v>
      </c>
      <c r="S56" s="15" t="s">
        <v>54</v>
      </c>
      <c r="T56" s="21">
        <v>1</v>
      </c>
      <c r="U56" s="21"/>
      <c r="V56" s="21"/>
      <c r="W56" s="21"/>
      <c r="X56" s="21"/>
      <c r="Y56" s="21"/>
      <c r="Z56" s="6">
        <f>T56</f>
        <v>1</v>
      </c>
      <c r="AA56" s="15">
        <v>2015</v>
      </c>
      <c r="AB56" s="46"/>
      <c r="AC56" s="40"/>
      <c r="AD56" s="40"/>
    </row>
    <row r="57" spans="1:32" s="2" customFormat="1" ht="45" x14ac:dyDescent="0.25">
      <c r="A57" s="38"/>
      <c r="B57" s="38"/>
      <c r="C57" s="38"/>
      <c r="D57" s="38"/>
      <c r="E57" s="38"/>
      <c r="F57" s="38"/>
      <c r="G57" s="38"/>
      <c r="H57" s="38"/>
      <c r="I57" s="39"/>
      <c r="J57" s="38"/>
      <c r="K57" s="38"/>
      <c r="L57" s="38"/>
      <c r="M57" s="38"/>
      <c r="N57" s="38"/>
      <c r="O57" s="38"/>
      <c r="P57" s="38"/>
      <c r="Q57" s="38"/>
      <c r="R57" s="62" t="s">
        <v>66</v>
      </c>
      <c r="S57" s="99" t="s">
        <v>11</v>
      </c>
      <c r="T57" s="14"/>
      <c r="U57" s="8">
        <v>0.7</v>
      </c>
      <c r="V57" s="8"/>
      <c r="W57" s="8"/>
      <c r="X57" s="8"/>
      <c r="Y57" s="8"/>
      <c r="Z57" s="5">
        <f t="shared" si="4"/>
        <v>0.7</v>
      </c>
      <c r="AA57" s="15">
        <v>2016</v>
      </c>
      <c r="AB57" s="46"/>
      <c r="AC57" s="40"/>
      <c r="AD57" s="40"/>
      <c r="AE57" s="41"/>
      <c r="AF57" s="41"/>
    </row>
    <row r="58" spans="1:32" s="2" customFormat="1" ht="45" x14ac:dyDescent="0.25">
      <c r="A58" s="66" t="s">
        <v>23</v>
      </c>
      <c r="B58" s="66" t="s">
        <v>23</v>
      </c>
      <c r="C58" s="66" t="s">
        <v>39</v>
      </c>
      <c r="D58" s="66" t="s">
        <v>23</v>
      </c>
      <c r="E58" s="66" t="s">
        <v>33</v>
      </c>
      <c r="F58" s="66" t="s">
        <v>23</v>
      </c>
      <c r="G58" s="66" t="s">
        <v>32</v>
      </c>
      <c r="H58" s="66" t="s">
        <v>23</v>
      </c>
      <c r="I58" s="66" t="s">
        <v>31</v>
      </c>
      <c r="J58" s="66" t="s">
        <v>24</v>
      </c>
      <c r="K58" s="66" t="s">
        <v>23</v>
      </c>
      <c r="L58" s="66" t="s">
        <v>24</v>
      </c>
      <c r="M58" s="66" t="s">
        <v>23</v>
      </c>
      <c r="N58" s="66" t="s">
        <v>23</v>
      </c>
      <c r="O58" s="66" t="s">
        <v>23</v>
      </c>
      <c r="P58" s="66" t="s">
        <v>23</v>
      </c>
      <c r="Q58" s="66" t="s">
        <v>35</v>
      </c>
      <c r="R58" s="67" t="s">
        <v>93</v>
      </c>
      <c r="S58" s="68" t="s">
        <v>59</v>
      </c>
      <c r="T58" s="69">
        <v>15000</v>
      </c>
      <c r="U58" s="69"/>
      <c r="V58" s="69"/>
      <c r="W58" s="69"/>
      <c r="X58" s="70"/>
      <c r="Y58" s="70"/>
      <c r="Z58" s="70">
        <f t="shared" si="4"/>
        <v>15000</v>
      </c>
      <c r="AA58" s="68">
        <v>2015</v>
      </c>
      <c r="AB58" s="40"/>
      <c r="AC58" s="40"/>
      <c r="AD58" s="40"/>
      <c r="AE58" s="41"/>
      <c r="AF58" s="41"/>
    </row>
    <row r="59" spans="1:32" s="2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62" t="s">
        <v>94</v>
      </c>
      <c r="S59" s="99" t="s">
        <v>11</v>
      </c>
      <c r="T59" s="14">
        <v>0.3</v>
      </c>
      <c r="U59" s="8"/>
      <c r="V59" s="8"/>
      <c r="W59" s="8"/>
      <c r="X59" s="8"/>
      <c r="Y59" s="8"/>
      <c r="Z59" s="5">
        <f t="shared" si="4"/>
        <v>0.3</v>
      </c>
      <c r="AA59" s="15">
        <v>2015</v>
      </c>
      <c r="AB59" s="40"/>
      <c r="AC59" s="40"/>
      <c r="AD59" s="40"/>
      <c r="AE59" s="41"/>
      <c r="AF59" s="41"/>
    </row>
    <row r="60" spans="1:32" s="2" customFormat="1" ht="45" hidden="1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39</v>
      </c>
      <c r="O60" s="66"/>
      <c r="P60" s="66"/>
      <c r="Q60" s="66"/>
      <c r="R60" s="67" t="s">
        <v>95</v>
      </c>
      <c r="S60" s="68" t="s">
        <v>59</v>
      </c>
      <c r="T60" s="70"/>
      <c r="U60" s="70"/>
      <c r="V60" s="70"/>
      <c r="W60" s="70"/>
      <c r="X60" s="70"/>
      <c r="Y60" s="70"/>
      <c r="Z60" s="70"/>
      <c r="AA60" s="68"/>
      <c r="AB60" s="40"/>
      <c r="AC60" s="40"/>
      <c r="AD60" s="40"/>
      <c r="AE60" s="41"/>
      <c r="AF60" s="41"/>
    </row>
    <row r="61" spans="1:32" s="2" customFormat="1" ht="45" hidden="1" x14ac:dyDescent="0.25">
      <c r="A61" s="38"/>
      <c r="B61" s="38"/>
      <c r="C61" s="38"/>
      <c r="D61" s="38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62" t="s">
        <v>96</v>
      </c>
      <c r="S61" s="99" t="s">
        <v>55</v>
      </c>
      <c r="T61" s="21"/>
      <c r="U61" s="21"/>
      <c r="V61" s="21"/>
      <c r="W61" s="21"/>
      <c r="X61" s="21"/>
      <c r="Y61" s="21"/>
      <c r="Z61" s="6"/>
      <c r="AA61" s="15"/>
      <c r="AB61" s="40"/>
      <c r="AC61" s="40"/>
      <c r="AD61" s="40"/>
      <c r="AE61" s="41"/>
      <c r="AF61" s="41"/>
    </row>
    <row r="62" spans="1:32" s="2" customFormat="1" ht="30" x14ac:dyDescent="0.25">
      <c r="A62" s="66" t="s">
        <v>23</v>
      </c>
      <c r="B62" s="66" t="s">
        <v>23</v>
      </c>
      <c r="C62" s="66" t="s">
        <v>39</v>
      </c>
      <c r="D62" s="66" t="s">
        <v>23</v>
      </c>
      <c r="E62" s="66" t="s">
        <v>33</v>
      </c>
      <c r="F62" s="66" t="s">
        <v>23</v>
      </c>
      <c r="G62" s="66" t="s">
        <v>32</v>
      </c>
      <c r="H62" s="66" t="s">
        <v>23</v>
      </c>
      <c r="I62" s="66" t="s">
        <v>31</v>
      </c>
      <c r="J62" s="66" t="s">
        <v>24</v>
      </c>
      <c r="K62" s="66" t="s">
        <v>23</v>
      </c>
      <c r="L62" s="66" t="s">
        <v>24</v>
      </c>
      <c r="M62" s="66" t="s">
        <v>23</v>
      </c>
      <c r="N62" s="66" t="s">
        <v>23</v>
      </c>
      <c r="O62" s="66" t="s">
        <v>23</v>
      </c>
      <c r="P62" s="66" t="s">
        <v>23</v>
      </c>
      <c r="Q62" s="66" t="s">
        <v>31</v>
      </c>
      <c r="R62" s="67" t="s">
        <v>246</v>
      </c>
      <c r="S62" s="68" t="s">
        <v>59</v>
      </c>
      <c r="T62" s="70"/>
      <c r="U62" s="69">
        <f>4000-1500-100</f>
        <v>2400</v>
      </c>
      <c r="V62" s="69"/>
      <c r="W62" s="69"/>
      <c r="X62" s="69"/>
      <c r="Y62" s="70"/>
      <c r="Z62" s="70">
        <f t="shared" si="4"/>
        <v>2400</v>
      </c>
      <c r="AA62" s="68">
        <v>2016</v>
      </c>
      <c r="AB62" s="46"/>
      <c r="AC62" s="40"/>
      <c r="AD62" s="40"/>
      <c r="AE62" s="41"/>
      <c r="AF62" s="41"/>
    </row>
    <row r="63" spans="1:32" s="41" customFormat="1" ht="44.25" x14ac:dyDescent="0.25">
      <c r="A63" s="39"/>
      <c r="B63" s="39"/>
      <c r="C63" s="39"/>
      <c r="D63" s="39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37" t="s">
        <v>67</v>
      </c>
      <c r="S63" s="15" t="s">
        <v>54</v>
      </c>
      <c r="T63" s="8"/>
      <c r="U63" s="21">
        <v>1</v>
      </c>
      <c r="V63" s="21"/>
      <c r="W63" s="21"/>
      <c r="X63" s="21"/>
      <c r="Y63" s="21"/>
      <c r="Z63" s="6">
        <f>U63</f>
        <v>1</v>
      </c>
      <c r="AA63" s="15">
        <v>2016</v>
      </c>
      <c r="AB63" s="46"/>
      <c r="AC63" s="40"/>
      <c r="AD63" s="40"/>
    </row>
    <row r="64" spans="1:32" s="2" customFormat="1" ht="29.25" hidden="1" x14ac:dyDescent="0.2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37" t="s">
        <v>97</v>
      </c>
      <c r="S64" s="99" t="s">
        <v>11</v>
      </c>
      <c r="T64" s="14"/>
      <c r="U64" s="8"/>
      <c r="V64" s="8"/>
      <c r="W64" s="8"/>
      <c r="X64" s="8"/>
      <c r="Y64" s="29"/>
      <c r="Z64" s="5"/>
      <c r="AA64" s="15"/>
      <c r="AB64" s="46"/>
      <c r="AC64" s="40"/>
      <c r="AD64" s="40"/>
      <c r="AE64" s="41"/>
      <c r="AF64" s="41"/>
    </row>
    <row r="65" spans="1:32" s="2" customFormat="1" ht="30" hidden="1" x14ac:dyDescent="0.25">
      <c r="A65" s="38"/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37" t="s">
        <v>98</v>
      </c>
      <c r="S65" s="15" t="s">
        <v>60</v>
      </c>
      <c r="T65" s="8"/>
      <c r="U65" s="8"/>
      <c r="V65" s="8"/>
      <c r="W65" s="8"/>
      <c r="X65" s="8"/>
      <c r="Y65" s="8"/>
      <c r="Z65" s="5"/>
      <c r="AA65" s="15"/>
      <c r="AB65" s="46"/>
      <c r="AC65" s="40"/>
      <c r="AD65" s="40"/>
      <c r="AE65" s="41"/>
      <c r="AF65" s="41"/>
    </row>
    <row r="66" spans="1:32" s="2" customFormat="1" ht="45" x14ac:dyDescent="0.25">
      <c r="A66" s="66" t="s">
        <v>23</v>
      </c>
      <c r="B66" s="66" t="s">
        <v>23</v>
      </c>
      <c r="C66" s="66" t="s">
        <v>39</v>
      </c>
      <c r="D66" s="66" t="s">
        <v>23</v>
      </c>
      <c r="E66" s="66" t="s">
        <v>33</v>
      </c>
      <c r="F66" s="66" t="s">
        <v>23</v>
      </c>
      <c r="G66" s="66" t="s">
        <v>32</v>
      </c>
      <c r="H66" s="66" t="s">
        <v>23</v>
      </c>
      <c r="I66" s="66" t="s">
        <v>31</v>
      </c>
      <c r="J66" s="66" t="s">
        <v>24</v>
      </c>
      <c r="K66" s="66" t="s">
        <v>23</v>
      </c>
      <c r="L66" s="66" t="s">
        <v>24</v>
      </c>
      <c r="M66" s="66" t="s">
        <v>23</v>
      </c>
      <c r="N66" s="66" t="s">
        <v>23</v>
      </c>
      <c r="O66" s="66" t="s">
        <v>23</v>
      </c>
      <c r="P66" s="66" t="s">
        <v>23</v>
      </c>
      <c r="Q66" s="66" t="s">
        <v>32</v>
      </c>
      <c r="R66" s="67" t="s">
        <v>99</v>
      </c>
      <c r="S66" s="68" t="s">
        <v>59</v>
      </c>
      <c r="T66" s="70"/>
      <c r="U66" s="69">
        <f>1500+400-7-24.1</f>
        <v>1868.9</v>
      </c>
      <c r="V66" s="70"/>
      <c r="W66" s="70"/>
      <c r="X66" s="70"/>
      <c r="Y66" s="70"/>
      <c r="Z66" s="70">
        <f t="shared" si="4"/>
        <v>1868.9</v>
      </c>
      <c r="AA66" s="68">
        <v>2016</v>
      </c>
      <c r="AB66" s="46"/>
      <c r="AC66" s="40"/>
      <c r="AD66" s="40"/>
      <c r="AE66" s="41"/>
      <c r="AF66" s="41"/>
    </row>
    <row r="67" spans="1:32" s="2" customFormat="1" ht="29.25" x14ac:dyDescent="0.2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37" t="s">
        <v>89</v>
      </c>
      <c r="S67" s="99" t="s">
        <v>11</v>
      </c>
      <c r="T67" s="14"/>
      <c r="U67" s="8">
        <v>0.6</v>
      </c>
      <c r="V67" s="8"/>
      <c r="W67" s="8"/>
      <c r="X67" s="8"/>
      <c r="Y67" s="8"/>
      <c r="Z67" s="5">
        <f t="shared" si="4"/>
        <v>0.6</v>
      </c>
      <c r="AA67" s="15">
        <v>2016</v>
      </c>
      <c r="AB67" s="46"/>
      <c r="AC67" s="40"/>
      <c r="AD67" s="40"/>
      <c r="AE67" s="41"/>
      <c r="AF67" s="41"/>
    </row>
    <row r="68" spans="1:32" s="2" customFormat="1" ht="30" x14ac:dyDescent="0.25">
      <c r="A68" s="38"/>
      <c r="B68" s="38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7" t="s">
        <v>87</v>
      </c>
      <c r="S68" s="15" t="s">
        <v>60</v>
      </c>
      <c r="T68" s="8"/>
      <c r="U68" s="8">
        <v>18.7</v>
      </c>
      <c r="V68" s="8"/>
      <c r="W68" s="8"/>
      <c r="X68" s="8"/>
      <c r="Y68" s="8"/>
      <c r="Z68" s="5">
        <f t="shared" si="4"/>
        <v>18.7</v>
      </c>
      <c r="AA68" s="15">
        <v>2016</v>
      </c>
      <c r="AB68" s="46"/>
      <c r="AC68" s="40"/>
      <c r="AD68" s="40"/>
      <c r="AE68" s="41"/>
      <c r="AF68" s="41"/>
    </row>
    <row r="69" spans="1:32" s="2" customFormat="1" ht="59.25" hidden="1" x14ac:dyDescent="0.25">
      <c r="A69" s="66" t="s">
        <v>23</v>
      </c>
      <c r="B69" s="66" t="s">
        <v>23</v>
      </c>
      <c r="C69" s="66" t="s">
        <v>39</v>
      </c>
      <c r="D69" s="66" t="s">
        <v>23</v>
      </c>
      <c r="E69" s="66" t="s">
        <v>33</v>
      </c>
      <c r="F69" s="66" t="s">
        <v>23</v>
      </c>
      <c r="G69" s="66" t="s">
        <v>32</v>
      </c>
      <c r="H69" s="66" t="s">
        <v>23</v>
      </c>
      <c r="I69" s="66" t="s">
        <v>31</v>
      </c>
      <c r="J69" s="66" t="s">
        <v>24</v>
      </c>
      <c r="K69" s="66" t="s">
        <v>23</v>
      </c>
      <c r="L69" s="66" t="s">
        <v>24</v>
      </c>
      <c r="M69" s="66" t="s">
        <v>24</v>
      </c>
      <c r="N69" s="66" t="s">
        <v>23</v>
      </c>
      <c r="O69" s="66"/>
      <c r="P69" s="66"/>
      <c r="Q69" s="66"/>
      <c r="R69" s="67" t="s">
        <v>100</v>
      </c>
      <c r="S69" s="68" t="s">
        <v>59</v>
      </c>
      <c r="T69" s="70"/>
      <c r="U69" s="70"/>
      <c r="V69" s="70"/>
      <c r="W69" s="70"/>
      <c r="X69" s="70"/>
      <c r="Y69" s="70"/>
      <c r="Z69" s="70"/>
      <c r="AA69" s="95"/>
      <c r="AB69" s="40"/>
      <c r="AC69" s="40"/>
      <c r="AD69" s="40"/>
      <c r="AE69" s="41"/>
      <c r="AF69" s="41"/>
    </row>
    <row r="70" spans="1:32" s="41" customFormat="1" ht="29.25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64</v>
      </c>
      <c r="S70" s="15" t="s">
        <v>54</v>
      </c>
      <c r="T70" s="21"/>
      <c r="U70" s="21"/>
      <c r="V70" s="6"/>
      <c r="W70" s="21"/>
      <c r="X70" s="21"/>
      <c r="Y70" s="21"/>
      <c r="Z70" s="6"/>
      <c r="AA70" s="15"/>
      <c r="AB70" s="40"/>
      <c r="AC70" s="40"/>
      <c r="AD70" s="40"/>
    </row>
    <row r="71" spans="1:32" s="2" customFormat="1" ht="30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23</v>
      </c>
      <c r="N71" s="66" t="s">
        <v>23</v>
      </c>
      <c r="O71" s="66" t="s">
        <v>23</v>
      </c>
      <c r="P71" s="66" t="s">
        <v>24</v>
      </c>
      <c r="Q71" s="66" t="s">
        <v>24</v>
      </c>
      <c r="R71" s="67" t="s">
        <v>63</v>
      </c>
      <c r="S71" s="68" t="s">
        <v>59</v>
      </c>
      <c r="T71" s="69">
        <v>2000</v>
      </c>
      <c r="U71" s="69">
        <v>1051</v>
      </c>
      <c r="V71" s="69"/>
      <c r="W71" s="70"/>
      <c r="X71" s="70"/>
      <c r="Y71" s="70"/>
      <c r="Z71" s="70">
        <f>T71+U71+V71+W71+X71+Y71</f>
        <v>3051</v>
      </c>
      <c r="AA71" s="68">
        <v>2016</v>
      </c>
      <c r="AB71" s="85"/>
      <c r="AC71" s="40"/>
      <c r="AD71" s="40"/>
      <c r="AE71" s="41"/>
      <c r="AF71" s="41"/>
    </row>
    <row r="72" spans="1:32" s="41" customFormat="1" ht="31.9" customHeight="1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64</v>
      </c>
      <c r="S72" s="15" t="s">
        <v>54</v>
      </c>
      <c r="T72" s="21">
        <v>1</v>
      </c>
      <c r="U72" s="21">
        <v>1</v>
      </c>
      <c r="V72" s="6"/>
      <c r="W72" s="21"/>
      <c r="X72" s="21"/>
      <c r="Y72" s="21"/>
      <c r="Z72" s="6">
        <v>1</v>
      </c>
      <c r="AA72" s="15">
        <v>2016</v>
      </c>
      <c r="AB72" s="40"/>
      <c r="AC72" s="40"/>
      <c r="AD72" s="40"/>
    </row>
    <row r="73" spans="1:32" s="41" customFormat="1" ht="44.25" hidden="1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192</v>
      </c>
      <c r="S73" s="15" t="s">
        <v>11</v>
      </c>
      <c r="T73" s="8"/>
      <c r="U73" s="8"/>
      <c r="V73" s="8"/>
      <c r="W73" s="8"/>
      <c r="X73" s="8"/>
      <c r="Y73" s="8"/>
      <c r="Z73" s="5"/>
      <c r="AA73" s="18"/>
      <c r="AB73" s="40"/>
      <c r="AC73" s="40"/>
      <c r="AD73" s="40"/>
    </row>
    <row r="74" spans="1:32" s="2" customFormat="1" ht="44.25" x14ac:dyDescent="0.25">
      <c r="A74" s="66" t="s">
        <v>23</v>
      </c>
      <c r="B74" s="66" t="s">
        <v>23</v>
      </c>
      <c r="C74" s="66" t="s">
        <v>39</v>
      </c>
      <c r="D74" s="66" t="s">
        <v>23</v>
      </c>
      <c r="E74" s="66" t="s">
        <v>33</v>
      </c>
      <c r="F74" s="66" t="s">
        <v>23</v>
      </c>
      <c r="G74" s="66" t="s">
        <v>32</v>
      </c>
      <c r="H74" s="66" t="s">
        <v>23</v>
      </c>
      <c r="I74" s="66" t="s">
        <v>31</v>
      </c>
      <c r="J74" s="66" t="s">
        <v>24</v>
      </c>
      <c r="K74" s="66" t="s">
        <v>23</v>
      </c>
      <c r="L74" s="66" t="s">
        <v>24</v>
      </c>
      <c r="M74" s="66" t="s">
        <v>23</v>
      </c>
      <c r="N74" s="66" t="s">
        <v>23</v>
      </c>
      <c r="O74" s="66" t="s">
        <v>23</v>
      </c>
      <c r="P74" s="66" t="s">
        <v>23</v>
      </c>
      <c r="Q74" s="66" t="s">
        <v>23</v>
      </c>
      <c r="R74" s="67" t="s">
        <v>58</v>
      </c>
      <c r="S74" s="68" t="s">
        <v>59</v>
      </c>
      <c r="T74" s="70">
        <f>T75+T76</f>
        <v>1711</v>
      </c>
      <c r="U74" s="70">
        <f>U75+U76</f>
        <v>4009.9999999999995</v>
      </c>
      <c r="V74" s="70"/>
      <c r="W74" s="70"/>
      <c r="X74" s="70"/>
      <c r="Y74" s="70"/>
      <c r="Z74" s="70">
        <f>T74+U74+V74+W74+X74+Y74</f>
        <v>5721</v>
      </c>
      <c r="AA74" s="68">
        <v>2016</v>
      </c>
      <c r="AB74" s="40"/>
      <c r="AC74" s="40"/>
      <c r="AD74" s="40"/>
      <c r="AE74" s="41"/>
      <c r="AF74" s="41"/>
    </row>
    <row r="75" spans="1:32" s="2" customFormat="1" ht="44.25" x14ac:dyDescent="0.25">
      <c r="A75" s="66" t="s">
        <v>23</v>
      </c>
      <c r="B75" s="66" t="s">
        <v>23</v>
      </c>
      <c r="C75" s="66" t="s">
        <v>39</v>
      </c>
      <c r="D75" s="66" t="s">
        <v>23</v>
      </c>
      <c r="E75" s="66" t="s">
        <v>33</v>
      </c>
      <c r="F75" s="66" t="s">
        <v>23</v>
      </c>
      <c r="G75" s="66" t="s">
        <v>32</v>
      </c>
      <c r="H75" s="66" t="s">
        <v>23</v>
      </c>
      <c r="I75" s="66" t="s">
        <v>31</v>
      </c>
      <c r="J75" s="66" t="s">
        <v>24</v>
      </c>
      <c r="K75" s="66" t="s">
        <v>39</v>
      </c>
      <c r="L75" s="66" t="s">
        <v>35</v>
      </c>
      <c r="M75" s="66" t="s">
        <v>34</v>
      </c>
      <c r="N75" s="66" t="s">
        <v>25</v>
      </c>
      <c r="O75" s="66"/>
      <c r="P75" s="66"/>
      <c r="Q75" s="66"/>
      <c r="R75" s="67" t="s">
        <v>58</v>
      </c>
      <c r="S75" s="68" t="s">
        <v>59</v>
      </c>
      <c r="T75" s="69">
        <v>1711</v>
      </c>
      <c r="U75" s="69"/>
      <c r="V75" s="70"/>
      <c r="W75" s="69"/>
      <c r="X75" s="69"/>
      <c r="Y75" s="69"/>
      <c r="Z75" s="70">
        <f>T75+U75+V75+W75+X75+Y75</f>
        <v>1711</v>
      </c>
      <c r="AA75" s="68">
        <v>2015</v>
      </c>
      <c r="AB75" s="40"/>
      <c r="AC75" s="40"/>
      <c r="AD75" s="40"/>
      <c r="AE75" s="41"/>
      <c r="AF75" s="41"/>
    </row>
    <row r="76" spans="1:32" s="2" customFormat="1" ht="44.25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24</v>
      </c>
      <c r="N76" s="66" t="s">
        <v>23</v>
      </c>
      <c r="O76" s="66" t="s">
        <v>39</v>
      </c>
      <c r="P76" s="66" t="s">
        <v>25</v>
      </c>
      <c r="Q76" s="66" t="s">
        <v>176</v>
      </c>
      <c r="R76" s="67" t="s">
        <v>58</v>
      </c>
      <c r="S76" s="68" t="s">
        <v>59</v>
      </c>
      <c r="T76" s="70"/>
      <c r="U76" s="69">
        <f>6964.9-2954.9</f>
        <v>4009.9999999999995</v>
      </c>
      <c r="V76" s="70"/>
      <c r="W76" s="69"/>
      <c r="X76" s="69"/>
      <c r="Y76" s="69"/>
      <c r="Z76" s="70">
        <f>T76+U76+V76+W76+X76+Y76</f>
        <v>4009.9999999999995</v>
      </c>
      <c r="AA76" s="68">
        <v>2016</v>
      </c>
      <c r="AB76" s="88"/>
      <c r="AC76" s="40"/>
      <c r="AD76" s="40"/>
      <c r="AE76" s="41"/>
      <c r="AF76" s="41"/>
    </row>
    <row r="77" spans="1:32" s="41" customFormat="1" ht="29.25" x14ac:dyDescent="0.2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7" t="s">
        <v>65</v>
      </c>
      <c r="S77" s="15" t="s">
        <v>54</v>
      </c>
      <c r="T77" s="21">
        <v>1</v>
      </c>
      <c r="U77" s="21"/>
      <c r="V77" s="6"/>
      <c r="W77" s="21"/>
      <c r="X77" s="21"/>
      <c r="Y77" s="21"/>
      <c r="Z77" s="6">
        <f>T77</f>
        <v>1</v>
      </c>
      <c r="AA77" s="15">
        <v>2015</v>
      </c>
      <c r="AB77" s="40"/>
      <c r="AC77" s="40"/>
      <c r="AD77" s="40"/>
    </row>
    <row r="78" spans="1:32" s="41" customFormat="1" ht="44.25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177</v>
      </c>
      <c r="S78" s="15" t="s">
        <v>54</v>
      </c>
      <c r="T78" s="21">
        <v>1</v>
      </c>
      <c r="U78" s="21">
        <v>1</v>
      </c>
      <c r="V78" s="6"/>
      <c r="W78" s="21"/>
      <c r="X78" s="21"/>
      <c r="Y78" s="21"/>
      <c r="Z78" s="6">
        <f>T78</f>
        <v>1</v>
      </c>
      <c r="AA78" s="15">
        <v>2016</v>
      </c>
      <c r="AB78" s="40"/>
      <c r="AC78" s="40"/>
      <c r="AD78" s="40"/>
    </row>
    <row r="79" spans="1:32" s="41" customFormat="1" ht="46.15" customHeight="1" x14ac:dyDescent="0.25">
      <c r="A79" s="66" t="s">
        <v>23</v>
      </c>
      <c r="B79" s="66" t="s">
        <v>23</v>
      </c>
      <c r="C79" s="66" t="s">
        <v>39</v>
      </c>
      <c r="D79" s="66" t="s">
        <v>23</v>
      </c>
      <c r="E79" s="66" t="s">
        <v>33</v>
      </c>
      <c r="F79" s="66" t="s">
        <v>23</v>
      </c>
      <c r="G79" s="66" t="s">
        <v>32</v>
      </c>
      <c r="H79" s="66" t="s">
        <v>23</v>
      </c>
      <c r="I79" s="66" t="s">
        <v>31</v>
      </c>
      <c r="J79" s="66" t="s">
        <v>24</v>
      </c>
      <c r="K79" s="66" t="s">
        <v>23</v>
      </c>
      <c r="L79" s="66" t="s">
        <v>24</v>
      </c>
      <c r="M79" s="66" t="s">
        <v>24</v>
      </c>
      <c r="N79" s="66" t="s">
        <v>25</v>
      </c>
      <c r="O79" s="66"/>
      <c r="P79" s="66"/>
      <c r="Q79" s="66"/>
      <c r="R79" s="67" t="s">
        <v>68</v>
      </c>
      <c r="S79" s="68" t="s">
        <v>59</v>
      </c>
      <c r="T79" s="70">
        <f>1395.3-311</f>
        <v>1084.3</v>
      </c>
      <c r="U79" s="69"/>
      <c r="V79" s="70"/>
      <c r="W79" s="69"/>
      <c r="X79" s="69"/>
      <c r="Y79" s="69"/>
      <c r="Z79" s="70">
        <f>T79</f>
        <v>1084.3</v>
      </c>
      <c r="AA79" s="68">
        <v>2015</v>
      </c>
      <c r="AB79" s="45"/>
      <c r="AC79" s="40"/>
      <c r="AD79" s="40"/>
    </row>
    <row r="80" spans="1:32" s="41" customFormat="1" ht="29.25" x14ac:dyDescent="0.25">
      <c r="A80" s="38"/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8"/>
      <c r="N80" s="38"/>
      <c r="O80" s="38"/>
      <c r="P80" s="38"/>
      <c r="Q80" s="38"/>
      <c r="R80" s="37" t="s">
        <v>69</v>
      </c>
      <c r="S80" s="15" t="s">
        <v>54</v>
      </c>
      <c r="T80" s="21">
        <v>1</v>
      </c>
      <c r="U80" s="21"/>
      <c r="V80" s="6"/>
      <c r="W80" s="21"/>
      <c r="X80" s="21"/>
      <c r="Y80" s="21"/>
      <c r="Z80" s="6">
        <f>T80</f>
        <v>1</v>
      </c>
      <c r="AA80" s="15">
        <v>2015</v>
      </c>
      <c r="AB80" s="40"/>
      <c r="AC80" s="40"/>
      <c r="AD80" s="40"/>
    </row>
    <row r="81" spans="1:32" s="41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23</v>
      </c>
      <c r="N81" s="66" t="s">
        <v>23</v>
      </c>
      <c r="O81" s="66" t="s">
        <v>23</v>
      </c>
      <c r="P81" s="66" t="s">
        <v>23</v>
      </c>
      <c r="Q81" s="66" t="s">
        <v>23</v>
      </c>
      <c r="R81" s="93" t="s">
        <v>231</v>
      </c>
      <c r="S81" s="68" t="s">
        <v>59</v>
      </c>
      <c r="T81" s="70"/>
      <c r="U81" s="70"/>
      <c r="V81" s="70">
        <f>V82+V83+V84</f>
        <v>83713.600000000006</v>
      </c>
      <c r="W81" s="70">
        <f>W82+W83+W84+W85+W86</f>
        <v>93942.8</v>
      </c>
      <c r="X81" s="70"/>
      <c r="Y81" s="70"/>
      <c r="Z81" s="70">
        <f>Z82+Z83+Z84+Z85+Z86</f>
        <v>177656.40000000002</v>
      </c>
      <c r="AA81" s="68">
        <v>2018</v>
      </c>
      <c r="AB81" s="40"/>
      <c r="AC81" s="40"/>
      <c r="AD81" s="40"/>
    </row>
    <row r="82" spans="1:32" s="41" customFormat="1" ht="44.25" x14ac:dyDescent="0.25">
      <c r="A82" s="66" t="s">
        <v>23</v>
      </c>
      <c r="B82" s="66" t="s">
        <v>23</v>
      </c>
      <c r="C82" s="66" t="s">
        <v>39</v>
      </c>
      <c r="D82" s="66" t="s">
        <v>23</v>
      </c>
      <c r="E82" s="66" t="s">
        <v>33</v>
      </c>
      <c r="F82" s="66" t="s">
        <v>23</v>
      </c>
      <c r="G82" s="66" t="s">
        <v>32</v>
      </c>
      <c r="H82" s="66" t="s">
        <v>23</v>
      </c>
      <c r="I82" s="66" t="s">
        <v>31</v>
      </c>
      <c r="J82" s="66" t="s">
        <v>24</v>
      </c>
      <c r="K82" s="66" t="s">
        <v>23</v>
      </c>
      <c r="L82" s="66" t="s">
        <v>24</v>
      </c>
      <c r="M82" s="66" t="s">
        <v>23</v>
      </c>
      <c r="N82" s="66" t="s">
        <v>23</v>
      </c>
      <c r="O82" s="66" t="s">
        <v>23</v>
      </c>
      <c r="P82" s="66" t="s">
        <v>24</v>
      </c>
      <c r="Q82" s="66" t="s">
        <v>34</v>
      </c>
      <c r="R82" s="67" t="s">
        <v>231</v>
      </c>
      <c r="S82" s="68" t="s">
        <v>59</v>
      </c>
      <c r="T82" s="69"/>
      <c r="U82" s="69"/>
      <c r="V82" s="69">
        <f>1711-1050.8+40.8</f>
        <v>701</v>
      </c>
      <c r="W82" s="69">
        <v>739.9</v>
      </c>
      <c r="X82" s="69"/>
      <c r="Y82" s="69"/>
      <c r="Z82" s="70">
        <f t="shared" ref="Z82:Z84" si="18">T82+U82+V82+W82+X82+Y82</f>
        <v>1440.9</v>
      </c>
      <c r="AA82" s="68">
        <v>2018</v>
      </c>
      <c r="AB82" s="40"/>
      <c r="AC82" s="40"/>
      <c r="AD82" s="40"/>
    </row>
    <row r="83" spans="1:32" s="41" customFormat="1" ht="44.25" x14ac:dyDescent="0.25">
      <c r="A83" s="66" t="s">
        <v>23</v>
      </c>
      <c r="B83" s="66" t="s">
        <v>23</v>
      </c>
      <c r="C83" s="66" t="s">
        <v>39</v>
      </c>
      <c r="D83" s="66" t="s">
        <v>23</v>
      </c>
      <c r="E83" s="66" t="s">
        <v>33</v>
      </c>
      <c r="F83" s="66" t="s">
        <v>23</v>
      </c>
      <c r="G83" s="66" t="s">
        <v>32</v>
      </c>
      <c r="H83" s="66" t="s">
        <v>23</v>
      </c>
      <c r="I83" s="66" t="s">
        <v>31</v>
      </c>
      <c r="J83" s="66" t="s">
        <v>24</v>
      </c>
      <c r="K83" s="66" t="s">
        <v>23</v>
      </c>
      <c r="L83" s="66" t="s">
        <v>24</v>
      </c>
      <c r="M83" s="66" t="s">
        <v>24</v>
      </c>
      <c r="N83" s="66" t="s">
        <v>23</v>
      </c>
      <c r="O83" s="66" t="s">
        <v>39</v>
      </c>
      <c r="P83" s="66" t="s">
        <v>24</v>
      </c>
      <c r="Q83" s="66" t="s">
        <v>208</v>
      </c>
      <c r="R83" s="67" t="s">
        <v>231</v>
      </c>
      <c r="S83" s="68" t="s">
        <v>59</v>
      </c>
      <c r="T83" s="69"/>
      <c r="U83" s="69"/>
      <c r="V83" s="69">
        <v>74898.100000000006</v>
      </c>
      <c r="W83" s="69"/>
      <c r="X83" s="69"/>
      <c r="Y83" s="69"/>
      <c r="Z83" s="70">
        <f t="shared" si="18"/>
        <v>74898.100000000006</v>
      </c>
      <c r="AA83" s="68">
        <v>2017</v>
      </c>
      <c r="AB83" s="40"/>
      <c r="AC83" s="40"/>
      <c r="AD83" s="40"/>
    </row>
    <row r="84" spans="1:32" s="41" customFormat="1" ht="44.25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178</v>
      </c>
      <c r="N84" s="66" t="s">
        <v>23</v>
      </c>
      <c r="O84" s="66" t="s">
        <v>39</v>
      </c>
      <c r="P84" s="66" t="s">
        <v>24</v>
      </c>
      <c r="Q84" s="66" t="s">
        <v>205</v>
      </c>
      <c r="R84" s="67" t="s">
        <v>231</v>
      </c>
      <c r="S84" s="68" t="s">
        <v>59</v>
      </c>
      <c r="T84" s="69"/>
      <c r="U84" s="69"/>
      <c r="V84" s="69">
        <f>8322-166.7-40.8</f>
        <v>8114.5</v>
      </c>
      <c r="W84" s="69"/>
      <c r="X84" s="69"/>
      <c r="Y84" s="69"/>
      <c r="Z84" s="70">
        <f t="shared" si="18"/>
        <v>8114.5</v>
      </c>
      <c r="AA84" s="68">
        <v>2017</v>
      </c>
      <c r="AB84" s="40"/>
      <c r="AC84" s="40"/>
      <c r="AD84" s="40"/>
    </row>
    <row r="85" spans="1:32" s="41" customFormat="1" ht="44.25" x14ac:dyDescent="0.25">
      <c r="A85" s="66" t="s">
        <v>23</v>
      </c>
      <c r="B85" s="66" t="s">
        <v>23</v>
      </c>
      <c r="C85" s="66" t="s">
        <v>39</v>
      </c>
      <c r="D85" s="66" t="s">
        <v>23</v>
      </c>
      <c r="E85" s="66" t="s">
        <v>33</v>
      </c>
      <c r="F85" s="66" t="s">
        <v>23</v>
      </c>
      <c r="G85" s="66" t="s">
        <v>32</v>
      </c>
      <c r="H85" s="66" t="s">
        <v>23</v>
      </c>
      <c r="I85" s="66" t="s">
        <v>31</v>
      </c>
      <c r="J85" s="66" t="s">
        <v>24</v>
      </c>
      <c r="K85" s="66" t="s">
        <v>23</v>
      </c>
      <c r="L85" s="66" t="s">
        <v>24</v>
      </c>
      <c r="M85" s="66" t="s">
        <v>178</v>
      </c>
      <c r="N85" s="66" t="s">
        <v>23</v>
      </c>
      <c r="O85" s="66" t="s">
        <v>39</v>
      </c>
      <c r="P85" s="66" t="s">
        <v>24</v>
      </c>
      <c r="Q85" s="66" t="s">
        <v>34</v>
      </c>
      <c r="R85" s="67" t="s">
        <v>231</v>
      </c>
      <c r="S85" s="68" t="s">
        <v>59</v>
      </c>
      <c r="T85" s="69"/>
      <c r="U85" s="69"/>
      <c r="V85" s="69"/>
      <c r="W85" s="69">
        <v>9094.1</v>
      </c>
      <c r="X85" s="69"/>
      <c r="Y85" s="69"/>
      <c r="Z85" s="70">
        <f t="shared" ref="Z85:Z86" si="19">T85+U85+V85+W85+X85+Y85</f>
        <v>9094.1</v>
      </c>
      <c r="AA85" s="68">
        <v>2018</v>
      </c>
      <c r="AB85" s="40"/>
      <c r="AC85" s="40"/>
      <c r="AD85" s="40"/>
    </row>
    <row r="86" spans="1:32" s="41" customFormat="1" ht="44.25" x14ac:dyDescent="0.25">
      <c r="A86" s="66" t="s">
        <v>23</v>
      </c>
      <c r="B86" s="66" t="s">
        <v>23</v>
      </c>
      <c r="C86" s="66" t="s">
        <v>39</v>
      </c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24</v>
      </c>
      <c r="N86" s="66" t="s">
        <v>23</v>
      </c>
      <c r="O86" s="66" t="s">
        <v>39</v>
      </c>
      <c r="P86" s="66" t="s">
        <v>24</v>
      </c>
      <c r="Q86" s="66" t="s">
        <v>34</v>
      </c>
      <c r="R86" s="67" t="s">
        <v>231</v>
      </c>
      <c r="S86" s="68" t="s">
        <v>59</v>
      </c>
      <c r="T86" s="69"/>
      <c r="U86" s="69"/>
      <c r="V86" s="69"/>
      <c r="W86" s="69">
        <v>84108.800000000003</v>
      </c>
      <c r="X86" s="69"/>
      <c r="Y86" s="69"/>
      <c r="Z86" s="70">
        <f t="shared" si="19"/>
        <v>84108.800000000003</v>
      </c>
      <c r="AA86" s="68">
        <v>2018</v>
      </c>
      <c r="AB86" s="40"/>
      <c r="AC86" s="40"/>
      <c r="AD86" s="40"/>
    </row>
    <row r="87" spans="1:32" s="41" customFormat="1" ht="33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7" t="s">
        <v>141</v>
      </c>
      <c r="S87" s="15" t="s">
        <v>10</v>
      </c>
      <c r="T87" s="21"/>
      <c r="U87" s="21"/>
      <c r="V87" s="8">
        <v>47.1</v>
      </c>
      <c r="W87" s="8">
        <v>52.9</v>
      </c>
      <c r="X87" s="8"/>
      <c r="Y87" s="8"/>
      <c r="Z87" s="5">
        <f>V87+W87</f>
        <v>100</v>
      </c>
      <c r="AA87" s="18">
        <v>2018</v>
      </c>
      <c r="AB87" s="40"/>
      <c r="AC87" s="40"/>
      <c r="AD87" s="40"/>
    </row>
    <row r="88" spans="1:32" s="41" customFormat="1" ht="42" customHeight="1" x14ac:dyDescent="0.25">
      <c r="A88" s="38"/>
      <c r="B88" s="38"/>
      <c r="C88" s="38"/>
      <c r="D88" s="38"/>
      <c r="E88" s="38"/>
      <c r="F88" s="38"/>
      <c r="G88" s="38"/>
      <c r="H88" s="38"/>
      <c r="I88" s="39"/>
      <c r="J88" s="38"/>
      <c r="K88" s="38"/>
      <c r="L88" s="38"/>
      <c r="M88" s="38"/>
      <c r="N88" s="38"/>
      <c r="O88" s="38"/>
      <c r="P88" s="38"/>
      <c r="Q88" s="38"/>
      <c r="R88" s="37" t="s">
        <v>240</v>
      </c>
      <c r="S88" s="15" t="s">
        <v>11</v>
      </c>
      <c r="T88" s="21"/>
      <c r="U88" s="21"/>
      <c r="V88" s="6"/>
      <c r="W88" s="8">
        <v>0.4</v>
      </c>
      <c r="X88" s="8"/>
      <c r="Y88" s="8"/>
      <c r="Z88" s="5">
        <f>W88</f>
        <v>0.4</v>
      </c>
      <c r="AA88" s="15">
        <v>2018</v>
      </c>
      <c r="AB88" s="40"/>
      <c r="AC88" s="40"/>
      <c r="AD88" s="40"/>
    </row>
    <row r="89" spans="1:32" s="41" customFormat="1" ht="59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23</v>
      </c>
      <c r="N89" s="66" t="s">
        <v>23</v>
      </c>
      <c r="O89" s="66" t="s">
        <v>23</v>
      </c>
      <c r="P89" s="66" t="s">
        <v>24</v>
      </c>
      <c r="Q89" s="66" t="s">
        <v>33</v>
      </c>
      <c r="R89" s="67" t="s">
        <v>232</v>
      </c>
      <c r="S89" s="68" t="s">
        <v>59</v>
      </c>
      <c r="T89" s="70"/>
      <c r="U89" s="70"/>
      <c r="V89" s="70">
        <f>V90+V91</f>
        <v>1484.3</v>
      </c>
      <c r="W89" s="70"/>
      <c r="X89" s="70"/>
      <c r="Y89" s="70"/>
      <c r="Z89" s="70">
        <f t="shared" ref="Z89:Z90" si="20">T89+U89+V89+W89+X89+Y89</f>
        <v>1484.3</v>
      </c>
      <c r="AA89" s="68">
        <v>2017</v>
      </c>
      <c r="AB89" s="40"/>
      <c r="AC89" s="40"/>
      <c r="AD89" s="40"/>
    </row>
    <row r="90" spans="1:32" s="41" customFormat="1" ht="59.25" x14ac:dyDescent="0.25">
      <c r="A90" s="66" t="s">
        <v>23</v>
      </c>
      <c r="B90" s="66" t="s">
        <v>23</v>
      </c>
      <c r="C90" s="66" t="s">
        <v>39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178</v>
      </c>
      <c r="N90" s="66" t="s">
        <v>23</v>
      </c>
      <c r="O90" s="66" t="s">
        <v>24</v>
      </c>
      <c r="P90" s="66" t="s">
        <v>34</v>
      </c>
      <c r="Q90" s="66" t="s">
        <v>208</v>
      </c>
      <c r="R90" s="67" t="s">
        <v>232</v>
      </c>
      <c r="S90" s="68" t="s">
        <v>59</v>
      </c>
      <c r="T90" s="70"/>
      <c r="U90" s="70"/>
      <c r="V90" s="69">
        <v>1377</v>
      </c>
      <c r="W90" s="70"/>
      <c r="X90" s="70"/>
      <c r="Y90" s="70"/>
      <c r="Z90" s="70">
        <f t="shared" si="20"/>
        <v>1377</v>
      </c>
      <c r="AA90" s="68">
        <v>2017</v>
      </c>
      <c r="AB90" s="40"/>
      <c r="AC90" s="40"/>
      <c r="AD90" s="40"/>
    </row>
    <row r="91" spans="1:32" s="41" customFormat="1" ht="65.45" customHeight="1" x14ac:dyDescent="0.25">
      <c r="A91" s="66" t="s">
        <v>23</v>
      </c>
      <c r="B91" s="66" t="s">
        <v>23</v>
      </c>
      <c r="C91" s="66" t="s">
        <v>39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178</v>
      </c>
      <c r="N91" s="66" t="s">
        <v>23</v>
      </c>
      <c r="O91" s="66" t="s">
        <v>24</v>
      </c>
      <c r="P91" s="66" t="s">
        <v>34</v>
      </c>
      <c r="Q91" s="66" t="s">
        <v>205</v>
      </c>
      <c r="R91" s="67" t="s">
        <v>232</v>
      </c>
      <c r="S91" s="68" t="s">
        <v>59</v>
      </c>
      <c r="T91" s="70"/>
      <c r="U91" s="70"/>
      <c r="V91" s="69">
        <f>532.9-425.6</f>
        <v>107.29999999999995</v>
      </c>
      <c r="W91" s="70"/>
      <c r="X91" s="70"/>
      <c r="Y91" s="70"/>
      <c r="Z91" s="70">
        <f>T91+U91+V91+W91+X91+Y91</f>
        <v>107.29999999999995</v>
      </c>
      <c r="AA91" s="68">
        <v>2017</v>
      </c>
      <c r="AB91" s="40"/>
      <c r="AC91" s="40"/>
      <c r="AD91" s="40"/>
    </row>
    <row r="92" spans="1:32" s="41" customFormat="1" ht="29.25" x14ac:dyDescent="0.25">
      <c r="A92" s="38"/>
      <c r="B92" s="38"/>
      <c r="C92" s="38"/>
      <c r="D92" s="38"/>
      <c r="E92" s="38"/>
      <c r="F92" s="38"/>
      <c r="G92" s="38"/>
      <c r="H92" s="38"/>
      <c r="I92" s="39"/>
      <c r="J92" s="38"/>
      <c r="K92" s="38"/>
      <c r="L92" s="38"/>
      <c r="M92" s="38"/>
      <c r="N92" s="38"/>
      <c r="O92" s="38"/>
      <c r="P92" s="38"/>
      <c r="Q92" s="38"/>
      <c r="R92" s="37" t="s">
        <v>64</v>
      </c>
      <c r="S92" s="15" t="s">
        <v>54</v>
      </c>
      <c r="T92" s="21"/>
      <c r="U92" s="21"/>
      <c r="V92" s="21">
        <v>1</v>
      </c>
      <c r="W92" s="21"/>
      <c r="X92" s="21"/>
      <c r="Y92" s="21"/>
      <c r="Z92" s="6">
        <f>V92</f>
        <v>1</v>
      </c>
      <c r="AA92" s="15">
        <v>2017</v>
      </c>
      <c r="AB92" s="40"/>
      <c r="AC92" s="40"/>
      <c r="AD92" s="40"/>
    </row>
    <row r="93" spans="1:32" s="61" customFormat="1" ht="42.75" x14ac:dyDescent="0.25">
      <c r="A93" s="59" t="s">
        <v>23</v>
      </c>
      <c r="B93" s="59" t="s">
        <v>24</v>
      </c>
      <c r="C93" s="59" t="s">
        <v>25</v>
      </c>
      <c r="D93" s="59" t="s">
        <v>23</v>
      </c>
      <c r="E93" s="59" t="s">
        <v>33</v>
      </c>
      <c r="F93" s="59" t="s">
        <v>23</v>
      </c>
      <c r="G93" s="59" t="s">
        <v>32</v>
      </c>
      <c r="H93" s="59" t="s">
        <v>23</v>
      </c>
      <c r="I93" s="59" t="s">
        <v>31</v>
      </c>
      <c r="J93" s="59" t="s">
        <v>24</v>
      </c>
      <c r="K93" s="59" t="s">
        <v>23</v>
      </c>
      <c r="L93" s="59" t="s">
        <v>25</v>
      </c>
      <c r="M93" s="59" t="s">
        <v>23</v>
      </c>
      <c r="N93" s="59" t="s">
        <v>23</v>
      </c>
      <c r="O93" s="59" t="s">
        <v>23</v>
      </c>
      <c r="P93" s="59" t="s">
        <v>23</v>
      </c>
      <c r="Q93" s="59" t="s">
        <v>23</v>
      </c>
      <c r="R93" s="60" t="s">
        <v>37</v>
      </c>
      <c r="S93" s="28" t="s">
        <v>59</v>
      </c>
      <c r="T93" s="16">
        <f>T96+T103</f>
        <v>259621.5</v>
      </c>
      <c r="U93" s="16">
        <f>U96+U103</f>
        <v>238774.5</v>
      </c>
      <c r="V93" s="16">
        <f>V95+V103</f>
        <v>638248.19999999995</v>
      </c>
      <c r="W93" s="16">
        <f>W96+W103</f>
        <v>34422.1</v>
      </c>
      <c r="X93" s="16">
        <f>X96+X103</f>
        <v>29348</v>
      </c>
      <c r="Y93" s="16">
        <f>Y96+Y103</f>
        <v>19671.2</v>
      </c>
      <c r="Z93" s="16">
        <f t="shared" si="4"/>
        <v>1220085.5</v>
      </c>
      <c r="AA93" s="28">
        <v>2020</v>
      </c>
      <c r="AB93" s="40"/>
      <c r="AC93" s="40"/>
      <c r="AD93" s="40"/>
      <c r="AE93" s="41"/>
      <c r="AF93" s="41"/>
    </row>
    <row r="94" spans="1:32" s="2" customFormat="1" ht="44.25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101</v>
      </c>
      <c r="S94" s="15" t="s">
        <v>60</v>
      </c>
      <c r="T94" s="8">
        <f>T100+T113</f>
        <v>223.1</v>
      </c>
      <c r="U94" s="8">
        <f>U100+U128</f>
        <v>315.7</v>
      </c>
      <c r="V94" s="8">
        <f>V100+V128</f>
        <v>104</v>
      </c>
      <c r="W94" s="8">
        <f>W100+W128</f>
        <v>7.6</v>
      </c>
      <c r="X94" s="8">
        <f>X100+X128</f>
        <v>19</v>
      </c>
      <c r="Y94" s="8">
        <f>Y100+Y128</f>
        <v>18.2</v>
      </c>
      <c r="Z94" s="5">
        <f t="shared" si="4"/>
        <v>687.6</v>
      </c>
      <c r="AA94" s="15">
        <v>2020</v>
      </c>
      <c r="AB94" s="40"/>
      <c r="AC94" s="40"/>
      <c r="AD94" s="40"/>
      <c r="AE94" s="41"/>
      <c r="AF94" s="41"/>
    </row>
    <row r="95" spans="1:32" s="2" customFormat="1" ht="30" x14ac:dyDescent="0.25">
      <c r="A95" s="66" t="s">
        <v>23</v>
      </c>
      <c r="B95" s="66" t="s">
        <v>24</v>
      </c>
      <c r="C95" s="66" t="s">
        <v>25</v>
      </c>
      <c r="D95" s="66" t="s">
        <v>23</v>
      </c>
      <c r="E95" s="66" t="s">
        <v>33</v>
      </c>
      <c r="F95" s="66" t="s">
        <v>23</v>
      </c>
      <c r="G95" s="66" t="s">
        <v>32</v>
      </c>
      <c r="H95" s="66" t="s">
        <v>23</v>
      </c>
      <c r="I95" s="66" t="s">
        <v>31</v>
      </c>
      <c r="J95" s="66" t="s">
        <v>24</v>
      </c>
      <c r="K95" s="66" t="s">
        <v>23</v>
      </c>
      <c r="L95" s="66" t="s">
        <v>25</v>
      </c>
      <c r="M95" s="66" t="s">
        <v>23</v>
      </c>
      <c r="N95" s="66" t="s">
        <v>23</v>
      </c>
      <c r="O95" s="66" t="s">
        <v>23</v>
      </c>
      <c r="P95" s="66" t="s">
        <v>23</v>
      </c>
      <c r="Q95" s="66" t="s">
        <v>23</v>
      </c>
      <c r="R95" s="67" t="s">
        <v>102</v>
      </c>
      <c r="S95" s="68" t="s">
        <v>59</v>
      </c>
      <c r="T95" s="70">
        <f>28017.3+2000-10639.7</f>
        <v>19377.599999999999</v>
      </c>
      <c r="U95" s="70">
        <f>10000+2950-1039.8-1000</f>
        <v>10910.2</v>
      </c>
      <c r="V95" s="70">
        <f>V96+V97+V98</f>
        <v>6797</v>
      </c>
      <c r="W95" s="70">
        <f>W96+W97+W98</f>
        <v>23660.799999999999</v>
      </c>
      <c r="X95" s="70">
        <f t="shared" ref="X95:Y95" si="21">X96+X97+X98</f>
        <v>8000</v>
      </c>
      <c r="Y95" s="70">
        <f t="shared" si="21"/>
        <v>2958.3</v>
      </c>
      <c r="Z95" s="70">
        <f t="shared" ref="Z95" si="22">T95+U95+V95+W95+X95+Y95</f>
        <v>71703.900000000009</v>
      </c>
      <c r="AA95" s="68">
        <v>2020</v>
      </c>
      <c r="AB95" s="40"/>
      <c r="AC95" s="40"/>
      <c r="AD95" s="40"/>
      <c r="AE95" s="41"/>
      <c r="AF95" s="41"/>
    </row>
    <row r="96" spans="1:32" ht="30" x14ac:dyDescent="0.25">
      <c r="A96" s="66" t="s">
        <v>23</v>
      </c>
      <c r="B96" s="66" t="s">
        <v>24</v>
      </c>
      <c r="C96" s="66" t="s">
        <v>25</v>
      </c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25</v>
      </c>
      <c r="M96" s="66" t="s">
        <v>23</v>
      </c>
      <c r="N96" s="66" t="s">
        <v>23</v>
      </c>
      <c r="O96" s="66" t="s">
        <v>23</v>
      </c>
      <c r="P96" s="66" t="s">
        <v>23</v>
      </c>
      <c r="Q96" s="66" t="s">
        <v>23</v>
      </c>
      <c r="R96" s="67" t="s">
        <v>102</v>
      </c>
      <c r="S96" s="68" t="s">
        <v>59</v>
      </c>
      <c r="T96" s="69">
        <f>28017.3+2000-10639.7</f>
        <v>19377.599999999999</v>
      </c>
      <c r="U96" s="69">
        <f>10000+2950-1039.8-1000</f>
        <v>10910.2</v>
      </c>
      <c r="V96" s="69">
        <f>1121.5-1021.5</f>
        <v>100</v>
      </c>
      <c r="W96" s="69">
        <v>23660.799999999999</v>
      </c>
      <c r="X96" s="69">
        <v>8000</v>
      </c>
      <c r="Y96" s="69">
        <v>2958.3</v>
      </c>
      <c r="Z96" s="70">
        <f t="shared" si="4"/>
        <v>65006.9</v>
      </c>
      <c r="AA96" s="68">
        <v>2020</v>
      </c>
      <c r="AB96" s="45"/>
    </row>
    <row r="97" spans="1:28" ht="30" hidden="1" x14ac:dyDescent="0.25">
      <c r="A97" s="66" t="s">
        <v>23</v>
      </c>
      <c r="B97" s="66" t="s">
        <v>24</v>
      </c>
      <c r="C97" s="66" t="s">
        <v>25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25</v>
      </c>
      <c r="M97" s="66" t="s">
        <v>178</v>
      </c>
      <c r="N97" s="66" t="s">
        <v>23</v>
      </c>
      <c r="O97" s="66" t="s">
        <v>25</v>
      </c>
      <c r="P97" s="66" t="s">
        <v>23</v>
      </c>
      <c r="Q97" s="66" t="s">
        <v>205</v>
      </c>
      <c r="R97" s="67" t="s">
        <v>102</v>
      </c>
      <c r="S97" s="68" t="s">
        <v>59</v>
      </c>
      <c r="T97" s="69"/>
      <c r="U97" s="69"/>
      <c r="V97" s="69"/>
      <c r="W97" s="69"/>
      <c r="X97" s="69"/>
      <c r="Y97" s="69"/>
      <c r="Z97" s="70">
        <f>V97</f>
        <v>0</v>
      </c>
      <c r="AA97" s="68">
        <v>2017</v>
      </c>
      <c r="AB97" s="45"/>
    </row>
    <row r="98" spans="1:28" ht="30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25</v>
      </c>
      <c r="M98" s="66" t="s">
        <v>24</v>
      </c>
      <c r="N98" s="66" t="s">
        <v>23</v>
      </c>
      <c r="O98" s="66" t="s">
        <v>25</v>
      </c>
      <c r="P98" s="66" t="s">
        <v>23</v>
      </c>
      <c r="Q98" s="66" t="s">
        <v>208</v>
      </c>
      <c r="R98" s="67" t="s">
        <v>102</v>
      </c>
      <c r="S98" s="68" t="s">
        <v>59</v>
      </c>
      <c r="T98" s="69"/>
      <c r="U98" s="69"/>
      <c r="V98" s="69">
        <v>6697</v>
      </c>
      <c r="W98" s="69"/>
      <c r="X98" s="69"/>
      <c r="Y98" s="69"/>
      <c r="Z98" s="70">
        <f>V98</f>
        <v>6697</v>
      </c>
      <c r="AA98" s="68">
        <v>2017</v>
      </c>
      <c r="AB98" s="45"/>
    </row>
    <row r="99" spans="1:28" ht="44.25" x14ac:dyDescent="0.25">
      <c r="A99" s="38"/>
      <c r="B99" s="38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  <c r="R99" s="37" t="s">
        <v>103</v>
      </c>
      <c r="S99" s="15" t="s">
        <v>55</v>
      </c>
      <c r="T99" s="21">
        <v>2</v>
      </c>
      <c r="U99" s="21">
        <v>1</v>
      </c>
      <c r="V99" s="21">
        <v>1</v>
      </c>
      <c r="W99" s="21">
        <v>1</v>
      </c>
      <c r="X99" s="21"/>
      <c r="Y99" s="21"/>
      <c r="Z99" s="6">
        <f t="shared" si="4"/>
        <v>5</v>
      </c>
      <c r="AA99" s="15">
        <v>2018</v>
      </c>
      <c r="AB99" s="45"/>
    </row>
    <row r="100" spans="1:28" ht="4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17" t="s">
        <v>104</v>
      </c>
      <c r="S100" s="15" t="s">
        <v>60</v>
      </c>
      <c r="T100" s="8">
        <v>8</v>
      </c>
      <c r="U100" s="8">
        <v>6.8</v>
      </c>
      <c r="V100" s="8"/>
      <c r="W100" s="8"/>
      <c r="X100" s="8">
        <v>1</v>
      </c>
      <c r="Y100" s="8">
        <v>0.2</v>
      </c>
      <c r="Z100" s="5">
        <f t="shared" si="4"/>
        <v>16</v>
      </c>
      <c r="AA100" s="15">
        <v>2020</v>
      </c>
    </row>
    <row r="101" spans="1:28" ht="30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17" t="s">
        <v>209</v>
      </c>
      <c r="S101" s="15" t="s">
        <v>55</v>
      </c>
      <c r="T101" s="21"/>
      <c r="U101" s="21"/>
      <c r="V101" s="21"/>
      <c r="W101" s="21">
        <v>1</v>
      </c>
      <c r="X101" s="21"/>
      <c r="Y101" s="21"/>
      <c r="Z101" s="6">
        <f>W101</f>
        <v>1</v>
      </c>
      <c r="AA101" s="15">
        <v>2018</v>
      </c>
    </row>
    <row r="102" spans="1:28" ht="31.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17" t="s">
        <v>210</v>
      </c>
      <c r="S102" s="15" t="s">
        <v>28</v>
      </c>
      <c r="T102" s="8"/>
      <c r="U102" s="8"/>
      <c r="V102" s="8"/>
      <c r="W102" s="8">
        <v>168</v>
      </c>
      <c r="X102" s="8"/>
      <c r="Y102" s="8"/>
      <c r="Z102" s="5">
        <f>W102</f>
        <v>168</v>
      </c>
      <c r="AA102" s="15">
        <v>2018</v>
      </c>
    </row>
    <row r="103" spans="1:28" ht="30" x14ac:dyDescent="0.25">
      <c r="A103" s="66"/>
      <c r="B103" s="66"/>
      <c r="C103" s="66"/>
      <c r="D103" s="66" t="s">
        <v>23</v>
      </c>
      <c r="E103" s="66" t="s">
        <v>33</v>
      </c>
      <c r="F103" s="66" t="s">
        <v>23</v>
      </c>
      <c r="G103" s="66" t="s">
        <v>32</v>
      </c>
      <c r="H103" s="66" t="s">
        <v>23</v>
      </c>
      <c r="I103" s="66" t="s">
        <v>31</v>
      </c>
      <c r="J103" s="66" t="s">
        <v>24</v>
      </c>
      <c r="K103" s="66" t="s">
        <v>23</v>
      </c>
      <c r="L103" s="66" t="s">
        <v>25</v>
      </c>
      <c r="M103" s="66" t="s">
        <v>23</v>
      </c>
      <c r="N103" s="66" t="s">
        <v>23</v>
      </c>
      <c r="O103" s="66" t="s">
        <v>23</v>
      </c>
      <c r="P103" s="66" t="s">
        <v>23</v>
      </c>
      <c r="Q103" s="66" t="s">
        <v>23</v>
      </c>
      <c r="R103" s="67" t="s">
        <v>105</v>
      </c>
      <c r="S103" s="68" t="s">
        <v>59</v>
      </c>
      <c r="T103" s="70">
        <f>T104+T105</f>
        <v>240243.9</v>
      </c>
      <c r="U103" s="70">
        <f>U114+U116+U119+U120+U121</f>
        <v>227864.3</v>
      </c>
      <c r="V103" s="70">
        <f>V104+V105+V106+V107+V108+V109+V110+V111+V112</f>
        <v>631451.19999999995</v>
      </c>
      <c r="W103" s="70">
        <f t="shared" ref="W103:Y103" si="23">W114+W116+W119</f>
        <v>10761.3</v>
      </c>
      <c r="X103" s="70">
        <f t="shared" si="23"/>
        <v>21348</v>
      </c>
      <c r="Y103" s="70">
        <f t="shared" si="23"/>
        <v>16712.900000000001</v>
      </c>
      <c r="Z103" s="70">
        <f>Z104+Z105+Z106+Z107+Z108+Z109+Z110+Z111+Z112</f>
        <v>1148381.6000000001</v>
      </c>
      <c r="AA103" s="68">
        <v>2020</v>
      </c>
    </row>
    <row r="104" spans="1:28" ht="30" x14ac:dyDescent="0.25">
      <c r="A104" s="66"/>
      <c r="B104" s="66"/>
      <c r="C104" s="66"/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25</v>
      </c>
      <c r="L104" s="66" t="s">
        <v>23</v>
      </c>
      <c r="M104" s="66" t="s">
        <v>23</v>
      </c>
      <c r="N104" s="66" t="s">
        <v>23</v>
      </c>
      <c r="O104" s="66" t="s">
        <v>23</v>
      </c>
      <c r="P104" s="66" t="s">
        <v>23</v>
      </c>
      <c r="Q104" s="66" t="s">
        <v>23</v>
      </c>
      <c r="R104" s="67" t="s">
        <v>105</v>
      </c>
      <c r="S104" s="68" t="s">
        <v>59</v>
      </c>
      <c r="T104" s="69">
        <f>T114+T116+T119</f>
        <v>206053.3</v>
      </c>
      <c r="U104" s="69">
        <f>U119</f>
        <v>27864.3</v>
      </c>
      <c r="V104" s="69">
        <f t="shared" ref="V104" si="24">V119</f>
        <v>5982.9999999999991</v>
      </c>
      <c r="W104" s="69">
        <f t="shared" ref="W104:Y104" si="25">W119</f>
        <v>10761.3</v>
      </c>
      <c r="X104" s="69">
        <f t="shared" si="25"/>
        <v>21348</v>
      </c>
      <c r="Y104" s="69">
        <f t="shared" si="25"/>
        <v>16712.900000000001</v>
      </c>
      <c r="Z104" s="70">
        <f t="shared" si="4"/>
        <v>288722.8</v>
      </c>
      <c r="AA104" s="68">
        <v>2020</v>
      </c>
    </row>
    <row r="105" spans="1:28" ht="30" x14ac:dyDescent="0.25">
      <c r="A105" s="66"/>
      <c r="B105" s="66"/>
      <c r="C105" s="66"/>
      <c r="D105" s="66" t="s">
        <v>23</v>
      </c>
      <c r="E105" s="66" t="s">
        <v>33</v>
      </c>
      <c r="F105" s="66" t="s">
        <v>23</v>
      </c>
      <c r="G105" s="66" t="s">
        <v>32</v>
      </c>
      <c r="H105" s="66" t="s">
        <v>23</v>
      </c>
      <c r="I105" s="66" t="s">
        <v>31</v>
      </c>
      <c r="J105" s="66" t="s">
        <v>24</v>
      </c>
      <c r="K105" s="66" t="s">
        <v>35</v>
      </c>
      <c r="L105" s="66" t="s">
        <v>33</v>
      </c>
      <c r="M105" s="66" t="s">
        <v>23</v>
      </c>
      <c r="N105" s="66" t="s">
        <v>25</v>
      </c>
      <c r="O105" s="66" t="s">
        <v>23</v>
      </c>
      <c r="P105" s="66" t="s">
        <v>23</v>
      </c>
      <c r="Q105" s="66" t="s">
        <v>23</v>
      </c>
      <c r="R105" s="67" t="s">
        <v>105</v>
      </c>
      <c r="S105" s="68" t="s">
        <v>59</v>
      </c>
      <c r="T105" s="69">
        <f>T120</f>
        <v>34190.6</v>
      </c>
      <c r="U105" s="69"/>
      <c r="V105" s="69"/>
      <c r="W105" s="69"/>
      <c r="X105" s="69"/>
      <c r="Y105" s="69"/>
      <c r="Z105" s="70">
        <f t="shared" si="4"/>
        <v>34190.6</v>
      </c>
      <c r="AA105" s="68">
        <v>2015</v>
      </c>
    </row>
    <row r="106" spans="1:28" ht="30" x14ac:dyDescent="0.25">
      <c r="A106" s="66"/>
      <c r="B106" s="66"/>
      <c r="C106" s="66"/>
      <c r="D106" s="66" t="s">
        <v>23</v>
      </c>
      <c r="E106" s="66" t="s">
        <v>33</v>
      </c>
      <c r="F106" s="66" t="s">
        <v>23</v>
      </c>
      <c r="G106" s="66" t="s">
        <v>32</v>
      </c>
      <c r="H106" s="66" t="s">
        <v>23</v>
      </c>
      <c r="I106" s="66" t="s">
        <v>31</v>
      </c>
      <c r="J106" s="66" t="s">
        <v>24</v>
      </c>
      <c r="K106" s="66" t="s">
        <v>23</v>
      </c>
      <c r="L106" s="66" t="s">
        <v>25</v>
      </c>
      <c r="M106" s="66" t="s">
        <v>30</v>
      </c>
      <c r="N106" s="66" t="s">
        <v>33</v>
      </c>
      <c r="O106" s="66" t="s">
        <v>25</v>
      </c>
      <c r="P106" s="66" t="s">
        <v>23</v>
      </c>
      <c r="Q106" s="66" t="s">
        <v>176</v>
      </c>
      <c r="R106" s="67" t="s">
        <v>105</v>
      </c>
      <c r="S106" s="68" t="s">
        <v>59</v>
      </c>
      <c r="T106" s="69"/>
      <c r="U106" s="69">
        <v>200000</v>
      </c>
      <c r="V106" s="69"/>
      <c r="W106" s="69"/>
      <c r="X106" s="69"/>
      <c r="Y106" s="69"/>
      <c r="Z106" s="70">
        <f>T106+U106+V106+W106+X106+Y106</f>
        <v>200000</v>
      </c>
      <c r="AA106" s="68">
        <v>2016</v>
      </c>
    </row>
    <row r="107" spans="1:28" ht="30" x14ac:dyDescent="0.25">
      <c r="A107" s="66"/>
      <c r="B107" s="66"/>
      <c r="C107" s="66"/>
      <c r="D107" s="66" t="s">
        <v>23</v>
      </c>
      <c r="E107" s="66" t="s">
        <v>33</v>
      </c>
      <c r="F107" s="66" t="s">
        <v>23</v>
      </c>
      <c r="G107" s="66" t="s">
        <v>32</v>
      </c>
      <c r="H107" s="66" t="s">
        <v>23</v>
      </c>
      <c r="I107" s="66" t="s">
        <v>31</v>
      </c>
      <c r="J107" s="66" t="s">
        <v>24</v>
      </c>
      <c r="K107" s="66" t="s">
        <v>23</v>
      </c>
      <c r="L107" s="66" t="s">
        <v>25</v>
      </c>
      <c r="M107" s="66" t="s">
        <v>178</v>
      </c>
      <c r="N107" s="66" t="s">
        <v>23</v>
      </c>
      <c r="O107" s="66" t="s">
        <v>25</v>
      </c>
      <c r="P107" s="66" t="s">
        <v>23</v>
      </c>
      <c r="Q107" s="66" t="s">
        <v>205</v>
      </c>
      <c r="R107" s="67" t="s">
        <v>105</v>
      </c>
      <c r="S107" s="68" t="s">
        <v>59</v>
      </c>
      <c r="T107" s="69"/>
      <c r="U107" s="70"/>
      <c r="V107" s="69">
        <f t="shared" ref="V107" si="26">V122</f>
        <v>28548.7</v>
      </c>
      <c r="W107" s="69"/>
      <c r="X107" s="69"/>
      <c r="Y107" s="69"/>
      <c r="Z107" s="70">
        <f t="shared" ref="Z107:Z112" si="27">V107</f>
        <v>28548.7</v>
      </c>
      <c r="AA107" s="68">
        <v>2017</v>
      </c>
    </row>
    <row r="108" spans="1:28" ht="30" x14ac:dyDescent="0.25">
      <c r="A108" s="66"/>
      <c r="B108" s="66"/>
      <c r="C108" s="66"/>
      <c r="D108" s="66" t="s">
        <v>23</v>
      </c>
      <c r="E108" s="66" t="s">
        <v>33</v>
      </c>
      <c r="F108" s="66" t="s">
        <v>23</v>
      </c>
      <c r="G108" s="66" t="s">
        <v>32</v>
      </c>
      <c r="H108" s="66" t="s">
        <v>23</v>
      </c>
      <c r="I108" s="66" t="s">
        <v>31</v>
      </c>
      <c r="J108" s="66" t="s">
        <v>24</v>
      </c>
      <c r="K108" s="66" t="s">
        <v>23</v>
      </c>
      <c r="L108" s="66" t="s">
        <v>25</v>
      </c>
      <c r="M108" s="66" t="s">
        <v>24</v>
      </c>
      <c r="N108" s="66" t="s">
        <v>23</v>
      </c>
      <c r="O108" s="66" t="s">
        <v>25</v>
      </c>
      <c r="P108" s="66" t="s">
        <v>23</v>
      </c>
      <c r="Q108" s="66" t="s">
        <v>208</v>
      </c>
      <c r="R108" s="67" t="s">
        <v>105</v>
      </c>
      <c r="S108" s="68" t="s">
        <v>59</v>
      </c>
      <c r="T108" s="69"/>
      <c r="U108" s="69"/>
      <c r="V108" s="69">
        <f t="shared" ref="V108" si="28">V123</f>
        <v>74792.7</v>
      </c>
      <c r="W108" s="69"/>
      <c r="X108" s="69"/>
      <c r="Y108" s="69"/>
      <c r="Z108" s="70">
        <f t="shared" si="27"/>
        <v>74792.7</v>
      </c>
      <c r="AA108" s="68">
        <v>2017</v>
      </c>
    </row>
    <row r="109" spans="1:28" ht="30" x14ac:dyDescent="0.25">
      <c r="A109" s="66"/>
      <c r="B109" s="66"/>
      <c r="C109" s="66"/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25</v>
      </c>
      <c r="M109" s="66" t="s">
        <v>24</v>
      </c>
      <c r="N109" s="66" t="s">
        <v>23</v>
      </c>
      <c r="O109" s="66" t="s">
        <v>39</v>
      </c>
      <c r="P109" s="66" t="s">
        <v>24</v>
      </c>
      <c r="Q109" s="66" t="s">
        <v>208</v>
      </c>
      <c r="R109" s="67" t="s">
        <v>105</v>
      </c>
      <c r="S109" s="68" t="s">
        <v>59</v>
      </c>
      <c r="T109" s="69"/>
      <c r="U109" s="69"/>
      <c r="V109" s="69">
        <f t="shared" ref="V109:V111" si="29">V124</f>
        <v>855</v>
      </c>
      <c r="W109" s="69"/>
      <c r="X109" s="69"/>
      <c r="Y109" s="69"/>
      <c r="Z109" s="70">
        <f t="shared" si="27"/>
        <v>855</v>
      </c>
      <c r="AA109" s="68">
        <v>2017</v>
      </c>
    </row>
    <row r="110" spans="1:28" ht="30" x14ac:dyDescent="0.25">
      <c r="A110" s="66"/>
      <c r="B110" s="66"/>
      <c r="C110" s="66"/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30</v>
      </c>
      <c r="N110" s="66" t="s">
        <v>34</v>
      </c>
      <c r="O110" s="66" t="s">
        <v>32</v>
      </c>
      <c r="P110" s="66" t="s">
        <v>23</v>
      </c>
      <c r="Q110" s="66" t="s">
        <v>208</v>
      </c>
      <c r="R110" s="67" t="s">
        <v>105</v>
      </c>
      <c r="S110" s="68" t="s">
        <v>59</v>
      </c>
      <c r="T110" s="69"/>
      <c r="U110" s="69"/>
      <c r="V110" s="69">
        <f t="shared" si="29"/>
        <v>6976.8</v>
      </c>
      <c r="W110" s="69"/>
      <c r="X110" s="69"/>
      <c r="Y110" s="69"/>
      <c r="Z110" s="70">
        <f t="shared" si="27"/>
        <v>6976.8</v>
      </c>
      <c r="AA110" s="68">
        <v>2017</v>
      </c>
    </row>
    <row r="111" spans="1:28" ht="30" x14ac:dyDescent="0.25">
      <c r="A111" s="66"/>
      <c r="B111" s="66"/>
      <c r="C111" s="66"/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39</v>
      </c>
      <c r="N111" s="66" t="s">
        <v>39</v>
      </c>
      <c r="O111" s="66" t="s">
        <v>23</v>
      </c>
      <c r="P111" s="66" t="s">
        <v>23</v>
      </c>
      <c r="Q111" s="66" t="s">
        <v>23</v>
      </c>
      <c r="R111" s="67" t="s">
        <v>105</v>
      </c>
      <c r="S111" s="68" t="s">
        <v>59</v>
      </c>
      <c r="T111" s="69"/>
      <c r="U111" s="69"/>
      <c r="V111" s="69">
        <f t="shared" si="29"/>
        <v>514200</v>
      </c>
      <c r="W111" s="69"/>
      <c r="X111" s="69"/>
      <c r="Y111" s="69"/>
      <c r="Z111" s="70">
        <f t="shared" si="27"/>
        <v>514200</v>
      </c>
      <c r="AA111" s="68">
        <v>2017</v>
      </c>
    </row>
    <row r="112" spans="1:28" ht="30" x14ac:dyDescent="0.25">
      <c r="A112" s="66"/>
      <c r="B112" s="66"/>
      <c r="C112" s="66"/>
      <c r="D112" s="66" t="s">
        <v>23</v>
      </c>
      <c r="E112" s="66" t="s">
        <v>33</v>
      </c>
      <c r="F112" s="66" t="s">
        <v>23</v>
      </c>
      <c r="G112" s="66" t="s">
        <v>32</v>
      </c>
      <c r="H112" s="66" t="s">
        <v>23</v>
      </c>
      <c r="I112" s="66" t="s">
        <v>31</v>
      </c>
      <c r="J112" s="66" t="s">
        <v>24</v>
      </c>
      <c r="K112" s="66" t="s">
        <v>23</v>
      </c>
      <c r="L112" s="66" t="s">
        <v>25</v>
      </c>
      <c r="M112" s="66" t="s">
        <v>178</v>
      </c>
      <c r="N112" s="66" t="s">
        <v>23</v>
      </c>
      <c r="O112" s="66" t="s">
        <v>39</v>
      </c>
      <c r="P112" s="66" t="s">
        <v>24</v>
      </c>
      <c r="Q112" s="66" t="s">
        <v>251</v>
      </c>
      <c r="R112" s="67" t="s">
        <v>105</v>
      </c>
      <c r="S112" s="68" t="s">
        <v>59</v>
      </c>
      <c r="T112" s="69"/>
      <c r="U112" s="69"/>
      <c r="V112" s="69">
        <v>95</v>
      </c>
      <c r="W112" s="69"/>
      <c r="X112" s="69"/>
      <c r="Y112" s="69"/>
      <c r="Z112" s="70">
        <f t="shared" si="27"/>
        <v>95</v>
      </c>
      <c r="AA112" s="68">
        <v>2017</v>
      </c>
    </row>
    <row r="113" spans="1:32" ht="45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17" t="s">
        <v>106</v>
      </c>
      <c r="S113" s="15" t="s">
        <v>60</v>
      </c>
      <c r="T113" s="8">
        <f t="shared" ref="T113:Y113" si="30">T115+T117+T128</f>
        <v>215.1</v>
      </c>
      <c r="U113" s="8">
        <f t="shared" si="30"/>
        <v>308.89999999999998</v>
      </c>
      <c r="V113" s="8">
        <f t="shared" si="30"/>
        <v>104</v>
      </c>
      <c r="W113" s="8">
        <f t="shared" si="30"/>
        <v>7.6</v>
      </c>
      <c r="X113" s="8">
        <f t="shared" si="30"/>
        <v>18</v>
      </c>
      <c r="Y113" s="8">
        <f t="shared" si="30"/>
        <v>18</v>
      </c>
      <c r="Z113" s="5">
        <f t="shared" si="4"/>
        <v>671.6</v>
      </c>
      <c r="AA113" s="15">
        <v>2020</v>
      </c>
    </row>
    <row r="114" spans="1:32" ht="30" x14ac:dyDescent="0.25">
      <c r="A114" s="66" t="s">
        <v>23</v>
      </c>
      <c r="B114" s="66" t="s">
        <v>23</v>
      </c>
      <c r="C114" s="66" t="s">
        <v>34</v>
      </c>
      <c r="D114" s="66" t="s">
        <v>23</v>
      </c>
      <c r="E114" s="66" t="s">
        <v>33</v>
      </c>
      <c r="F114" s="66" t="s">
        <v>23</v>
      </c>
      <c r="G114" s="66" t="s">
        <v>32</v>
      </c>
      <c r="H114" s="66" t="s">
        <v>23</v>
      </c>
      <c r="I114" s="66" t="s">
        <v>31</v>
      </c>
      <c r="J114" s="66" t="s">
        <v>24</v>
      </c>
      <c r="K114" s="66" t="s">
        <v>23</v>
      </c>
      <c r="L114" s="66" t="s">
        <v>25</v>
      </c>
      <c r="M114" s="66" t="s">
        <v>23</v>
      </c>
      <c r="N114" s="66" t="s">
        <v>23</v>
      </c>
      <c r="O114" s="66" t="s">
        <v>23</v>
      </c>
      <c r="P114" s="66" t="s">
        <v>23</v>
      </c>
      <c r="Q114" s="66" t="s">
        <v>23</v>
      </c>
      <c r="R114" s="67" t="s">
        <v>105</v>
      </c>
      <c r="S114" s="68" t="s">
        <v>59</v>
      </c>
      <c r="T114" s="69">
        <v>1300</v>
      </c>
      <c r="U114" s="69"/>
      <c r="V114" s="69"/>
      <c r="W114" s="69"/>
      <c r="X114" s="69"/>
      <c r="Y114" s="69"/>
      <c r="Z114" s="70">
        <f t="shared" si="4"/>
        <v>1300</v>
      </c>
      <c r="AA114" s="68">
        <v>2015</v>
      </c>
    </row>
    <row r="115" spans="1:32" ht="4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7" t="s">
        <v>107</v>
      </c>
      <c r="S115" s="15" t="s">
        <v>60</v>
      </c>
      <c r="T115" s="8">
        <v>0.3</v>
      </c>
      <c r="U115" s="8"/>
      <c r="V115" s="8"/>
      <c r="W115" s="8"/>
      <c r="X115" s="8"/>
      <c r="Y115" s="8"/>
      <c r="Z115" s="5">
        <f t="shared" si="4"/>
        <v>0.3</v>
      </c>
      <c r="AA115" s="15">
        <v>2015</v>
      </c>
    </row>
    <row r="116" spans="1:32" ht="30" x14ac:dyDescent="0.25">
      <c r="A116" s="66" t="s">
        <v>23</v>
      </c>
      <c r="B116" s="66" t="s">
        <v>23</v>
      </c>
      <c r="C116" s="66" t="s">
        <v>33</v>
      </c>
      <c r="D116" s="66" t="s">
        <v>23</v>
      </c>
      <c r="E116" s="66" t="s">
        <v>33</v>
      </c>
      <c r="F116" s="66" t="s">
        <v>23</v>
      </c>
      <c r="G116" s="66" t="s">
        <v>32</v>
      </c>
      <c r="H116" s="66" t="s">
        <v>23</v>
      </c>
      <c r="I116" s="66" t="s">
        <v>31</v>
      </c>
      <c r="J116" s="66" t="s">
        <v>24</v>
      </c>
      <c r="K116" s="66" t="s">
        <v>23</v>
      </c>
      <c r="L116" s="66" t="s">
        <v>25</v>
      </c>
      <c r="M116" s="66" t="s">
        <v>23</v>
      </c>
      <c r="N116" s="66" t="s">
        <v>23</v>
      </c>
      <c r="O116" s="66" t="s">
        <v>23</v>
      </c>
      <c r="P116" s="66" t="s">
        <v>23</v>
      </c>
      <c r="Q116" s="66" t="s">
        <v>23</v>
      </c>
      <c r="R116" s="67" t="s">
        <v>105</v>
      </c>
      <c r="S116" s="68" t="s">
        <v>59</v>
      </c>
      <c r="T116" s="69">
        <f>1881-310</f>
        <v>1571</v>
      </c>
      <c r="U116" s="69"/>
      <c r="V116" s="69"/>
      <c r="W116" s="69"/>
      <c r="X116" s="69"/>
      <c r="Y116" s="69"/>
      <c r="Z116" s="70">
        <f t="shared" si="4"/>
        <v>1571</v>
      </c>
      <c r="AA116" s="68">
        <v>2015</v>
      </c>
    </row>
    <row r="117" spans="1:32" ht="4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17" t="s">
        <v>108</v>
      </c>
      <c r="S117" s="15" t="s">
        <v>60</v>
      </c>
      <c r="T117" s="8">
        <v>1.3</v>
      </c>
      <c r="U117" s="8"/>
      <c r="V117" s="8"/>
      <c r="W117" s="8"/>
      <c r="X117" s="8"/>
      <c r="Y117" s="8"/>
      <c r="Z117" s="5">
        <f t="shared" si="4"/>
        <v>1.3</v>
      </c>
      <c r="AA117" s="15">
        <v>2015</v>
      </c>
    </row>
    <row r="118" spans="1:32" ht="30" x14ac:dyDescent="0.25">
      <c r="A118" s="66" t="s">
        <v>23</v>
      </c>
      <c r="B118" s="66" t="s">
        <v>24</v>
      </c>
      <c r="C118" s="66" t="s">
        <v>25</v>
      </c>
      <c r="D118" s="66" t="s">
        <v>23</v>
      </c>
      <c r="E118" s="66" t="s">
        <v>33</v>
      </c>
      <c r="F118" s="66" t="s">
        <v>23</v>
      </c>
      <c r="G118" s="66" t="s">
        <v>32</v>
      </c>
      <c r="H118" s="66" t="s">
        <v>23</v>
      </c>
      <c r="I118" s="66" t="s">
        <v>31</v>
      </c>
      <c r="J118" s="66" t="s">
        <v>24</v>
      </c>
      <c r="K118" s="66" t="s">
        <v>23</v>
      </c>
      <c r="L118" s="66" t="s">
        <v>25</v>
      </c>
      <c r="M118" s="66" t="s">
        <v>23</v>
      </c>
      <c r="N118" s="66" t="s">
        <v>23</v>
      </c>
      <c r="O118" s="66" t="s">
        <v>23</v>
      </c>
      <c r="P118" s="66" t="s">
        <v>23</v>
      </c>
      <c r="Q118" s="66" t="s">
        <v>23</v>
      </c>
      <c r="R118" s="67" t="s">
        <v>105</v>
      </c>
      <c r="S118" s="68" t="s">
        <v>59</v>
      </c>
      <c r="T118" s="70">
        <f>T119+T120</f>
        <v>237372.9</v>
      </c>
      <c r="U118" s="70">
        <f>U119+U120+U121</f>
        <v>227864.3</v>
      </c>
      <c r="V118" s="70">
        <f>V119+V120+V121+V122+V123+V124+V125+V126+V127</f>
        <v>631451.19999999995</v>
      </c>
      <c r="W118" s="70">
        <f t="shared" ref="W118:Y118" si="31">W119+W120</f>
        <v>10761.3</v>
      </c>
      <c r="X118" s="70">
        <f t="shared" si="31"/>
        <v>21348</v>
      </c>
      <c r="Y118" s="70">
        <f t="shared" si="31"/>
        <v>16712.900000000001</v>
      </c>
      <c r="Z118" s="70">
        <f>T118+U118+V118+W118+X118+Y118</f>
        <v>1145510.5999999999</v>
      </c>
      <c r="AA118" s="68">
        <v>2020</v>
      </c>
    </row>
    <row r="119" spans="1:32" ht="27.6" customHeight="1" x14ac:dyDescent="0.25">
      <c r="A119" s="66" t="s">
        <v>23</v>
      </c>
      <c r="B119" s="66" t="s">
        <v>24</v>
      </c>
      <c r="C119" s="66" t="s">
        <v>25</v>
      </c>
      <c r="D119" s="66" t="s">
        <v>23</v>
      </c>
      <c r="E119" s="66" t="s">
        <v>33</v>
      </c>
      <c r="F119" s="66" t="s">
        <v>23</v>
      </c>
      <c r="G119" s="66" t="s">
        <v>32</v>
      </c>
      <c r="H119" s="66" t="s">
        <v>23</v>
      </c>
      <c r="I119" s="66" t="s">
        <v>31</v>
      </c>
      <c r="J119" s="66" t="s">
        <v>24</v>
      </c>
      <c r="K119" s="66" t="s">
        <v>23</v>
      </c>
      <c r="L119" s="66" t="s">
        <v>25</v>
      </c>
      <c r="M119" s="66" t="s">
        <v>23</v>
      </c>
      <c r="N119" s="66" t="s">
        <v>23</v>
      </c>
      <c r="O119" s="66" t="s">
        <v>23</v>
      </c>
      <c r="P119" s="66" t="s">
        <v>23</v>
      </c>
      <c r="Q119" s="66" t="s">
        <v>23</v>
      </c>
      <c r="R119" s="67" t="s">
        <v>105</v>
      </c>
      <c r="S119" s="68" t="s">
        <v>59</v>
      </c>
      <c r="T119" s="69">
        <f>208466.4-2928.6-2000-355.5</f>
        <v>203182.3</v>
      </c>
      <c r="U119" s="69">
        <f>50000-2950-2047.3-4865+1039.8-1654.9-5800-5858.3</f>
        <v>27864.3</v>
      </c>
      <c r="V119" s="69">
        <f>16437.3-5309.4-8274.5+600+2425+1944+1650.4-1944-1538.8-7</f>
        <v>5982.9999999999991</v>
      </c>
      <c r="W119" s="69">
        <v>10761.3</v>
      </c>
      <c r="X119" s="69">
        <v>21348</v>
      </c>
      <c r="Y119" s="69">
        <v>16712.900000000001</v>
      </c>
      <c r="Z119" s="70">
        <f>T119+U119+V119+W119+X119+Y119</f>
        <v>285851.8</v>
      </c>
      <c r="AA119" s="68">
        <v>2020</v>
      </c>
      <c r="AB119" s="94"/>
      <c r="AC119" s="45"/>
    </row>
    <row r="120" spans="1:32" s="73" customFormat="1" ht="30" x14ac:dyDescent="0.25">
      <c r="A120" s="66" t="s">
        <v>23</v>
      </c>
      <c r="B120" s="66" t="s">
        <v>24</v>
      </c>
      <c r="C120" s="66" t="s">
        <v>25</v>
      </c>
      <c r="D120" s="66" t="s">
        <v>23</v>
      </c>
      <c r="E120" s="66" t="s">
        <v>33</v>
      </c>
      <c r="F120" s="66" t="s">
        <v>23</v>
      </c>
      <c r="G120" s="66" t="s">
        <v>32</v>
      </c>
      <c r="H120" s="66" t="s">
        <v>23</v>
      </c>
      <c r="I120" s="66" t="s">
        <v>31</v>
      </c>
      <c r="J120" s="66" t="s">
        <v>24</v>
      </c>
      <c r="K120" s="66" t="s">
        <v>35</v>
      </c>
      <c r="L120" s="66" t="s">
        <v>33</v>
      </c>
      <c r="M120" s="66" t="s">
        <v>23</v>
      </c>
      <c r="N120" s="66" t="s">
        <v>25</v>
      </c>
      <c r="O120" s="66"/>
      <c r="P120" s="66"/>
      <c r="Q120" s="66"/>
      <c r="R120" s="67" t="s">
        <v>105</v>
      </c>
      <c r="S120" s="68" t="s">
        <v>59</v>
      </c>
      <c r="T120" s="69">
        <f>34550.9-360.3</f>
        <v>34190.6</v>
      </c>
      <c r="U120" s="69"/>
      <c r="V120" s="69"/>
      <c r="W120" s="69"/>
      <c r="X120" s="69"/>
      <c r="Y120" s="69"/>
      <c r="Z120" s="70">
        <f>T120+U120+V120+W120+X120+Y120</f>
        <v>34190.6</v>
      </c>
      <c r="AA120" s="68">
        <v>2015</v>
      </c>
      <c r="AB120" s="46"/>
      <c r="AC120" s="46"/>
      <c r="AD120" s="86"/>
      <c r="AE120" s="87"/>
      <c r="AF120" s="87"/>
    </row>
    <row r="121" spans="1:32" s="73" customFormat="1" ht="30" x14ac:dyDescent="0.25">
      <c r="A121" s="66" t="s">
        <v>23</v>
      </c>
      <c r="B121" s="66" t="s">
        <v>24</v>
      </c>
      <c r="C121" s="66" t="s">
        <v>25</v>
      </c>
      <c r="D121" s="66" t="s">
        <v>23</v>
      </c>
      <c r="E121" s="66" t="s">
        <v>33</v>
      </c>
      <c r="F121" s="66" t="s">
        <v>23</v>
      </c>
      <c r="G121" s="66" t="s">
        <v>32</v>
      </c>
      <c r="H121" s="66" t="s">
        <v>23</v>
      </c>
      <c r="I121" s="66" t="s">
        <v>31</v>
      </c>
      <c r="J121" s="66" t="s">
        <v>24</v>
      </c>
      <c r="K121" s="66" t="s">
        <v>23</v>
      </c>
      <c r="L121" s="66" t="s">
        <v>25</v>
      </c>
      <c r="M121" s="66" t="s">
        <v>30</v>
      </c>
      <c r="N121" s="66" t="s">
        <v>33</v>
      </c>
      <c r="O121" s="66" t="s">
        <v>25</v>
      </c>
      <c r="P121" s="66" t="s">
        <v>23</v>
      </c>
      <c r="Q121" s="66" t="s">
        <v>176</v>
      </c>
      <c r="R121" s="67" t="s">
        <v>105</v>
      </c>
      <c r="S121" s="68" t="s">
        <v>59</v>
      </c>
      <c r="T121" s="69"/>
      <c r="U121" s="69">
        <v>200000</v>
      </c>
      <c r="V121" s="69"/>
      <c r="W121" s="69"/>
      <c r="X121" s="69"/>
      <c r="Y121" s="69"/>
      <c r="Z121" s="70">
        <f>T121+U121+V121+W121+X121+Y121</f>
        <v>200000</v>
      </c>
      <c r="AA121" s="68">
        <v>2016</v>
      </c>
      <c r="AB121" s="46"/>
      <c r="AC121" s="46"/>
      <c r="AD121" s="86"/>
      <c r="AE121" s="87"/>
      <c r="AF121" s="87"/>
    </row>
    <row r="122" spans="1:32" s="73" customFormat="1" ht="30" x14ac:dyDescent="0.25">
      <c r="A122" s="66" t="s">
        <v>23</v>
      </c>
      <c r="B122" s="66" t="s">
        <v>24</v>
      </c>
      <c r="C122" s="66" t="s">
        <v>25</v>
      </c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178</v>
      </c>
      <c r="N122" s="66" t="s">
        <v>23</v>
      </c>
      <c r="O122" s="66" t="s">
        <v>25</v>
      </c>
      <c r="P122" s="66" t="s">
        <v>23</v>
      </c>
      <c r="Q122" s="66" t="s">
        <v>205</v>
      </c>
      <c r="R122" s="67" t="s">
        <v>105</v>
      </c>
      <c r="S122" s="68" t="s">
        <v>59</v>
      </c>
      <c r="T122" s="69"/>
      <c r="U122" s="69"/>
      <c r="V122" s="69">
        <f>29787+212.7-1363-88</f>
        <v>28548.7</v>
      </c>
      <c r="W122" s="69"/>
      <c r="X122" s="69"/>
      <c r="Y122" s="69"/>
      <c r="Z122" s="70">
        <f t="shared" ref="Z122:Z127" si="32">V122</f>
        <v>28548.7</v>
      </c>
      <c r="AA122" s="68">
        <v>2017</v>
      </c>
      <c r="AB122" s="46"/>
      <c r="AC122" s="46"/>
      <c r="AD122" s="86"/>
      <c r="AE122" s="87"/>
      <c r="AF122" s="87"/>
    </row>
    <row r="123" spans="1:32" s="73" customFormat="1" ht="30" x14ac:dyDescent="0.25">
      <c r="A123" s="66" t="s">
        <v>23</v>
      </c>
      <c r="B123" s="66" t="s">
        <v>24</v>
      </c>
      <c r="C123" s="66" t="s">
        <v>25</v>
      </c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23</v>
      </c>
      <c r="L123" s="66" t="s">
        <v>25</v>
      </c>
      <c r="M123" s="66" t="s">
        <v>24</v>
      </c>
      <c r="N123" s="66" t="s">
        <v>23</v>
      </c>
      <c r="O123" s="66" t="s">
        <v>25</v>
      </c>
      <c r="P123" s="66" t="s">
        <v>23</v>
      </c>
      <c r="Q123" s="66" t="s">
        <v>208</v>
      </c>
      <c r="R123" s="67" t="s">
        <v>105</v>
      </c>
      <c r="S123" s="68" t="s">
        <v>59</v>
      </c>
      <c r="T123" s="69"/>
      <c r="U123" s="69"/>
      <c r="V123" s="69">
        <f>74792.7+105145.2-105145.2</f>
        <v>74792.7</v>
      </c>
      <c r="W123" s="69"/>
      <c r="X123" s="69"/>
      <c r="Y123" s="69"/>
      <c r="Z123" s="70">
        <f t="shared" si="32"/>
        <v>74792.7</v>
      </c>
      <c r="AA123" s="68">
        <v>2017</v>
      </c>
      <c r="AB123" s="46"/>
      <c r="AC123" s="46"/>
      <c r="AD123" s="86"/>
      <c r="AE123" s="87"/>
      <c r="AF123" s="87"/>
    </row>
    <row r="124" spans="1:32" s="73" customFormat="1" ht="30" x14ac:dyDescent="0.25">
      <c r="A124" s="66" t="s">
        <v>23</v>
      </c>
      <c r="B124" s="66" t="s">
        <v>24</v>
      </c>
      <c r="C124" s="66" t="s">
        <v>25</v>
      </c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23</v>
      </c>
      <c r="L124" s="66" t="s">
        <v>25</v>
      </c>
      <c r="M124" s="66" t="s">
        <v>24</v>
      </c>
      <c r="N124" s="66" t="s">
        <v>23</v>
      </c>
      <c r="O124" s="66" t="s">
        <v>39</v>
      </c>
      <c r="P124" s="66" t="s">
        <v>24</v>
      </c>
      <c r="Q124" s="66" t="s">
        <v>208</v>
      </c>
      <c r="R124" s="67" t="s">
        <v>105</v>
      </c>
      <c r="S124" s="68" t="s">
        <v>59</v>
      </c>
      <c r="T124" s="69"/>
      <c r="U124" s="69"/>
      <c r="V124" s="69">
        <v>855</v>
      </c>
      <c r="W124" s="69"/>
      <c r="X124" s="69"/>
      <c r="Y124" s="69"/>
      <c r="Z124" s="70">
        <f t="shared" si="32"/>
        <v>855</v>
      </c>
      <c r="AA124" s="68">
        <v>2017</v>
      </c>
      <c r="AB124" s="64"/>
      <c r="AC124" s="46"/>
      <c r="AD124" s="86"/>
      <c r="AE124" s="87"/>
      <c r="AF124" s="87"/>
    </row>
    <row r="125" spans="1:32" ht="30" x14ac:dyDescent="0.25">
      <c r="A125" s="66" t="s">
        <v>23</v>
      </c>
      <c r="B125" s="66" t="s">
        <v>24</v>
      </c>
      <c r="C125" s="66" t="s">
        <v>25</v>
      </c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30</v>
      </c>
      <c r="N125" s="66" t="s">
        <v>34</v>
      </c>
      <c r="O125" s="66" t="s">
        <v>32</v>
      </c>
      <c r="P125" s="66" t="s">
        <v>23</v>
      </c>
      <c r="Q125" s="66" t="s">
        <v>208</v>
      </c>
      <c r="R125" s="67" t="s">
        <v>105</v>
      </c>
      <c r="S125" s="68" t="s">
        <v>59</v>
      </c>
      <c r="T125" s="69"/>
      <c r="U125" s="69"/>
      <c r="V125" s="69">
        <v>6976.8</v>
      </c>
      <c r="W125" s="69"/>
      <c r="X125" s="69"/>
      <c r="Y125" s="69"/>
      <c r="Z125" s="70">
        <f t="shared" si="32"/>
        <v>6976.8</v>
      </c>
      <c r="AA125" s="68">
        <v>2017</v>
      </c>
    </row>
    <row r="126" spans="1:32" s="73" customFormat="1" ht="30" x14ac:dyDescent="0.25">
      <c r="A126" s="66" t="s">
        <v>23</v>
      </c>
      <c r="B126" s="66" t="s">
        <v>24</v>
      </c>
      <c r="C126" s="66" t="s">
        <v>25</v>
      </c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39</v>
      </c>
      <c r="N126" s="66" t="s">
        <v>39</v>
      </c>
      <c r="O126" s="66" t="s">
        <v>23</v>
      </c>
      <c r="P126" s="66" t="s">
        <v>23</v>
      </c>
      <c r="Q126" s="66" t="s">
        <v>23</v>
      </c>
      <c r="R126" s="67" t="s">
        <v>105</v>
      </c>
      <c r="S126" s="68" t="s">
        <v>59</v>
      </c>
      <c r="T126" s="69"/>
      <c r="U126" s="69"/>
      <c r="V126" s="69">
        <f>300000+214200</f>
        <v>514200</v>
      </c>
      <c r="W126" s="69"/>
      <c r="X126" s="69"/>
      <c r="Y126" s="69"/>
      <c r="Z126" s="70">
        <f t="shared" si="32"/>
        <v>514200</v>
      </c>
      <c r="AA126" s="68">
        <v>2017</v>
      </c>
      <c r="AB126" s="46"/>
      <c r="AC126" s="46"/>
      <c r="AD126" s="86"/>
      <c r="AE126" s="87"/>
      <c r="AF126" s="87"/>
    </row>
    <row r="127" spans="1:32" s="73" customFormat="1" ht="30" x14ac:dyDescent="0.25">
      <c r="A127" s="66" t="s">
        <v>23</v>
      </c>
      <c r="B127" s="66" t="s">
        <v>24</v>
      </c>
      <c r="C127" s="66" t="s">
        <v>25</v>
      </c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178</v>
      </c>
      <c r="N127" s="66" t="s">
        <v>23</v>
      </c>
      <c r="O127" s="66" t="s">
        <v>39</v>
      </c>
      <c r="P127" s="66" t="s">
        <v>24</v>
      </c>
      <c r="Q127" s="66" t="s">
        <v>251</v>
      </c>
      <c r="R127" s="67" t="s">
        <v>105</v>
      </c>
      <c r="S127" s="68" t="s">
        <v>59</v>
      </c>
      <c r="T127" s="69"/>
      <c r="U127" s="69"/>
      <c r="V127" s="69">
        <v>95</v>
      </c>
      <c r="W127" s="69"/>
      <c r="X127" s="69"/>
      <c r="Y127" s="69"/>
      <c r="Z127" s="70">
        <f t="shared" si="32"/>
        <v>95</v>
      </c>
      <c r="AA127" s="68">
        <v>2017</v>
      </c>
      <c r="AB127" s="46"/>
      <c r="AC127" s="46"/>
      <c r="AD127" s="86"/>
      <c r="AE127" s="87"/>
      <c r="AF127" s="87"/>
    </row>
    <row r="128" spans="1:32" s="1" customFormat="1" ht="45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17" t="s">
        <v>109</v>
      </c>
      <c r="S128" s="15" t="s">
        <v>60</v>
      </c>
      <c r="T128" s="8">
        <v>213.5</v>
      </c>
      <c r="U128" s="8">
        <f>25.9+283</f>
        <v>308.89999999999998</v>
      </c>
      <c r="V128" s="8">
        <v>104</v>
      </c>
      <c r="W128" s="8">
        <v>7.6</v>
      </c>
      <c r="X128" s="8">
        <v>18</v>
      </c>
      <c r="Y128" s="8">
        <v>18</v>
      </c>
      <c r="Z128" s="5">
        <f t="shared" si="4"/>
        <v>670</v>
      </c>
      <c r="AA128" s="15">
        <v>2020</v>
      </c>
      <c r="AB128" s="46"/>
      <c r="AC128" s="46"/>
      <c r="AD128" s="46"/>
    </row>
    <row r="129" spans="1:32" s="61" customFormat="1" ht="30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17" t="s">
        <v>110</v>
      </c>
      <c r="S129" s="15" t="s">
        <v>55</v>
      </c>
      <c r="T129" s="21">
        <v>3</v>
      </c>
      <c r="U129" s="21"/>
      <c r="V129" s="21">
        <v>1</v>
      </c>
      <c r="W129" s="21"/>
      <c r="X129" s="21">
        <v>2</v>
      </c>
      <c r="Y129" s="21">
        <v>2</v>
      </c>
      <c r="Z129" s="6">
        <f t="shared" si="4"/>
        <v>8</v>
      </c>
      <c r="AA129" s="15">
        <v>2020</v>
      </c>
      <c r="AB129" s="46"/>
      <c r="AC129" s="40"/>
      <c r="AD129" s="40"/>
      <c r="AE129" s="41"/>
      <c r="AF129" s="41"/>
    </row>
    <row r="130" spans="1:32" s="74" customFormat="1" ht="30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17" t="s">
        <v>211</v>
      </c>
      <c r="S130" s="15" t="s">
        <v>12</v>
      </c>
      <c r="T130" s="8">
        <f>160+0.1</f>
        <v>160.1</v>
      </c>
      <c r="U130" s="8"/>
      <c r="V130" s="8">
        <v>51</v>
      </c>
      <c r="W130" s="8"/>
      <c r="X130" s="8">
        <v>97</v>
      </c>
      <c r="Y130" s="8">
        <v>97</v>
      </c>
      <c r="Z130" s="5">
        <f t="shared" si="4"/>
        <v>405.1</v>
      </c>
      <c r="AA130" s="15">
        <v>2020</v>
      </c>
      <c r="AB130" s="88"/>
      <c r="AC130" s="88"/>
      <c r="AD130" s="88"/>
      <c r="AE130" s="89"/>
      <c r="AF130" s="89"/>
    </row>
    <row r="131" spans="1:32" ht="42.75" x14ac:dyDescent="0.25">
      <c r="A131" s="59" t="s">
        <v>23</v>
      </c>
      <c r="B131" s="59" t="s">
        <v>23</v>
      </c>
      <c r="C131" s="59" t="s">
        <v>23</v>
      </c>
      <c r="D131" s="59" t="s">
        <v>23</v>
      </c>
      <c r="E131" s="59" t="s">
        <v>33</v>
      </c>
      <c r="F131" s="59" t="s">
        <v>23</v>
      </c>
      <c r="G131" s="59" t="s">
        <v>32</v>
      </c>
      <c r="H131" s="59" t="s">
        <v>23</v>
      </c>
      <c r="I131" s="59" t="s">
        <v>31</v>
      </c>
      <c r="J131" s="59" t="s">
        <v>24</v>
      </c>
      <c r="K131" s="59" t="s">
        <v>23</v>
      </c>
      <c r="L131" s="59" t="s">
        <v>34</v>
      </c>
      <c r="M131" s="59" t="s">
        <v>23</v>
      </c>
      <c r="N131" s="59" t="s">
        <v>23</v>
      </c>
      <c r="O131" s="59" t="s">
        <v>23</v>
      </c>
      <c r="P131" s="59" t="s">
        <v>23</v>
      </c>
      <c r="Q131" s="59" t="s">
        <v>23</v>
      </c>
      <c r="R131" s="60" t="s">
        <v>36</v>
      </c>
      <c r="S131" s="28" t="s">
        <v>59</v>
      </c>
      <c r="T131" s="16">
        <f t="shared" ref="T131:Y131" si="33">T133+T141+T147+T160+T162+T171</f>
        <v>555707.99999999988</v>
      </c>
      <c r="U131" s="16">
        <f t="shared" si="33"/>
        <v>602437.20000000007</v>
      </c>
      <c r="V131" s="16">
        <f>V133+V141+V147+V160+V162+V173+V175</f>
        <v>607698.40000000014</v>
      </c>
      <c r="W131" s="16">
        <f t="shared" si="33"/>
        <v>498720.3</v>
      </c>
      <c r="X131" s="16">
        <f t="shared" si="33"/>
        <v>429951.89999999997</v>
      </c>
      <c r="Y131" s="16">
        <f t="shared" si="33"/>
        <v>423168.7</v>
      </c>
      <c r="Z131" s="16">
        <f>Z133+Z141+Z147+Z160+Z162+Z171+Z173+Z175</f>
        <v>3117684.4999999995</v>
      </c>
      <c r="AA131" s="28">
        <v>2020</v>
      </c>
    </row>
    <row r="132" spans="1:32" ht="44.25" x14ac:dyDescent="0.25">
      <c r="A132" s="38"/>
      <c r="B132" s="38"/>
      <c r="C132" s="38"/>
      <c r="D132" s="38"/>
      <c r="E132" s="38"/>
      <c r="F132" s="38"/>
      <c r="G132" s="38"/>
      <c r="H132" s="38"/>
      <c r="I132" s="39"/>
      <c r="J132" s="38"/>
      <c r="K132" s="38"/>
      <c r="L132" s="38"/>
      <c r="M132" s="38"/>
      <c r="N132" s="38"/>
      <c r="O132" s="38"/>
      <c r="P132" s="38"/>
      <c r="Q132" s="38"/>
      <c r="R132" s="37" t="s">
        <v>111</v>
      </c>
      <c r="S132" s="15" t="s">
        <v>60</v>
      </c>
      <c r="T132" s="8">
        <f>T137</f>
        <v>6722.4</v>
      </c>
      <c r="U132" s="8">
        <f t="shared" ref="U132:Z132" si="34">U137</f>
        <v>5804.6</v>
      </c>
      <c r="V132" s="8">
        <f t="shared" si="34"/>
        <v>5804.6</v>
      </c>
      <c r="W132" s="8">
        <f t="shared" si="34"/>
        <v>5804.6</v>
      </c>
      <c r="X132" s="8">
        <f t="shared" si="34"/>
        <v>5804.6</v>
      </c>
      <c r="Y132" s="8">
        <f t="shared" si="34"/>
        <v>5804.6</v>
      </c>
      <c r="Z132" s="5">
        <f t="shared" si="34"/>
        <v>5804.6</v>
      </c>
      <c r="AA132" s="15">
        <v>2020</v>
      </c>
    </row>
    <row r="133" spans="1:32" ht="46.15" customHeight="1" x14ac:dyDescent="0.25">
      <c r="A133" s="66" t="s">
        <v>23</v>
      </c>
      <c r="B133" s="66" t="s">
        <v>24</v>
      </c>
      <c r="C133" s="66" t="s">
        <v>25</v>
      </c>
      <c r="D133" s="66" t="s">
        <v>23</v>
      </c>
      <c r="E133" s="66" t="s">
        <v>33</v>
      </c>
      <c r="F133" s="66" t="s">
        <v>23</v>
      </c>
      <c r="G133" s="66" t="s">
        <v>32</v>
      </c>
      <c r="H133" s="66" t="s">
        <v>23</v>
      </c>
      <c r="I133" s="66" t="s">
        <v>31</v>
      </c>
      <c r="J133" s="66" t="s">
        <v>24</v>
      </c>
      <c r="K133" s="66" t="s">
        <v>23</v>
      </c>
      <c r="L133" s="66" t="s">
        <v>34</v>
      </c>
      <c r="M133" s="66" t="s">
        <v>23</v>
      </c>
      <c r="N133" s="66" t="s">
        <v>23</v>
      </c>
      <c r="O133" s="66" t="s">
        <v>23</v>
      </c>
      <c r="P133" s="66" t="s">
        <v>23</v>
      </c>
      <c r="Q133" s="66" t="s">
        <v>23</v>
      </c>
      <c r="R133" s="67" t="s">
        <v>112</v>
      </c>
      <c r="S133" s="68" t="s">
        <v>59</v>
      </c>
      <c r="T133" s="70">
        <f>524597.1+9797.5</f>
        <v>534394.6</v>
      </c>
      <c r="U133" s="70">
        <f>560000-700-185-145.1-1284.7-993.1-56017.3</f>
        <v>500674.8000000001</v>
      </c>
      <c r="V133" s="70">
        <f>V134+V135+V136</f>
        <v>491079.30000000005</v>
      </c>
      <c r="W133" s="70">
        <f t="shared" ref="W133:Y133" si="35">W134+W135</f>
        <v>473678.2</v>
      </c>
      <c r="X133" s="70">
        <f t="shared" si="35"/>
        <v>404497.6</v>
      </c>
      <c r="Y133" s="70">
        <f t="shared" si="35"/>
        <v>397914.4</v>
      </c>
      <c r="Z133" s="70">
        <f>Z134+Z135+Z136</f>
        <v>2802238.9</v>
      </c>
      <c r="AA133" s="68">
        <v>2020</v>
      </c>
    </row>
    <row r="134" spans="1:32" ht="46.15" customHeight="1" x14ac:dyDescent="0.25">
      <c r="A134" s="66" t="s">
        <v>23</v>
      </c>
      <c r="B134" s="66" t="s">
        <v>24</v>
      </c>
      <c r="C134" s="66" t="s">
        <v>25</v>
      </c>
      <c r="D134" s="66" t="s">
        <v>23</v>
      </c>
      <c r="E134" s="66" t="s">
        <v>33</v>
      </c>
      <c r="F134" s="66" t="s">
        <v>23</v>
      </c>
      <c r="G134" s="66" t="s">
        <v>32</v>
      </c>
      <c r="H134" s="66" t="s">
        <v>23</v>
      </c>
      <c r="I134" s="66" t="s">
        <v>31</v>
      </c>
      <c r="J134" s="66" t="s">
        <v>24</v>
      </c>
      <c r="K134" s="66" t="s">
        <v>23</v>
      </c>
      <c r="L134" s="66" t="s">
        <v>34</v>
      </c>
      <c r="M134" s="66" t="s">
        <v>23</v>
      </c>
      <c r="N134" s="66" t="s">
        <v>23</v>
      </c>
      <c r="O134" s="66" t="s">
        <v>23</v>
      </c>
      <c r="P134" s="66" t="s">
        <v>23</v>
      </c>
      <c r="Q134" s="66" t="s">
        <v>23</v>
      </c>
      <c r="R134" s="67" t="s">
        <v>112</v>
      </c>
      <c r="S134" s="68" t="s">
        <v>59</v>
      </c>
      <c r="T134" s="69">
        <f>524597.1+9797.5</f>
        <v>534394.6</v>
      </c>
      <c r="U134" s="69">
        <f>560000-700-185-145.1-1284.7-993.1-56017.3</f>
        <v>500674.8000000001</v>
      </c>
      <c r="V134" s="69">
        <f>510303.9-40000-731.1-35.9-200+1100-8701.7-380-73.6</f>
        <v>461281.60000000003</v>
      </c>
      <c r="W134" s="69">
        <v>473678.2</v>
      </c>
      <c r="X134" s="69">
        <v>404497.6</v>
      </c>
      <c r="Y134" s="69">
        <v>397914.4</v>
      </c>
      <c r="Z134" s="70">
        <f>T134+U134+V134+W134+X134+Y134</f>
        <v>2772441.2</v>
      </c>
      <c r="AA134" s="68">
        <v>2020</v>
      </c>
    </row>
    <row r="135" spans="1:32" ht="46.15" customHeight="1" x14ac:dyDescent="0.25">
      <c r="A135" s="66" t="s">
        <v>23</v>
      </c>
      <c r="B135" s="66" t="s">
        <v>24</v>
      </c>
      <c r="C135" s="66" t="s">
        <v>25</v>
      </c>
      <c r="D135" s="66" t="s">
        <v>23</v>
      </c>
      <c r="E135" s="66" t="s">
        <v>33</v>
      </c>
      <c r="F135" s="66" t="s">
        <v>23</v>
      </c>
      <c r="G135" s="66" t="s">
        <v>32</v>
      </c>
      <c r="H135" s="66" t="s">
        <v>23</v>
      </c>
      <c r="I135" s="66" t="s">
        <v>31</v>
      </c>
      <c r="J135" s="66" t="s">
        <v>24</v>
      </c>
      <c r="K135" s="66" t="s">
        <v>23</v>
      </c>
      <c r="L135" s="66" t="s">
        <v>34</v>
      </c>
      <c r="M135" s="66" t="s">
        <v>178</v>
      </c>
      <c r="N135" s="66" t="s">
        <v>23</v>
      </c>
      <c r="O135" s="66" t="s">
        <v>39</v>
      </c>
      <c r="P135" s="66" t="s">
        <v>24</v>
      </c>
      <c r="Q135" s="66" t="s">
        <v>205</v>
      </c>
      <c r="R135" s="67" t="s">
        <v>112</v>
      </c>
      <c r="S135" s="68" t="s">
        <v>59</v>
      </c>
      <c r="T135" s="69"/>
      <c r="U135" s="69"/>
      <c r="V135" s="69">
        <v>2979.8</v>
      </c>
      <c r="W135" s="69"/>
      <c r="X135" s="69"/>
      <c r="Y135" s="69"/>
      <c r="Z135" s="70">
        <f>T135+U135+V135+W135+X135+Y135</f>
        <v>2979.8</v>
      </c>
      <c r="AA135" s="68">
        <v>2017</v>
      </c>
    </row>
    <row r="136" spans="1:32" ht="46.15" customHeight="1" x14ac:dyDescent="0.25">
      <c r="A136" s="66" t="s">
        <v>23</v>
      </c>
      <c r="B136" s="66" t="s">
        <v>24</v>
      </c>
      <c r="C136" s="66" t="s">
        <v>25</v>
      </c>
      <c r="D136" s="66" t="s">
        <v>23</v>
      </c>
      <c r="E136" s="66" t="s">
        <v>33</v>
      </c>
      <c r="F136" s="66" t="s">
        <v>23</v>
      </c>
      <c r="G136" s="66" t="s">
        <v>32</v>
      </c>
      <c r="H136" s="66" t="s">
        <v>23</v>
      </c>
      <c r="I136" s="66" t="s">
        <v>31</v>
      </c>
      <c r="J136" s="66" t="s">
        <v>24</v>
      </c>
      <c r="K136" s="66" t="s">
        <v>23</v>
      </c>
      <c r="L136" s="66" t="s">
        <v>34</v>
      </c>
      <c r="M136" s="66" t="s">
        <v>24</v>
      </c>
      <c r="N136" s="66" t="s">
        <v>23</v>
      </c>
      <c r="O136" s="66" t="s">
        <v>39</v>
      </c>
      <c r="P136" s="66" t="s">
        <v>24</v>
      </c>
      <c r="Q136" s="66" t="s">
        <v>208</v>
      </c>
      <c r="R136" s="67" t="s">
        <v>112</v>
      </c>
      <c r="S136" s="68" t="s">
        <v>59</v>
      </c>
      <c r="T136" s="69"/>
      <c r="U136" s="69"/>
      <c r="V136" s="69">
        <v>26817.9</v>
      </c>
      <c r="W136" s="69"/>
      <c r="X136" s="69"/>
      <c r="Y136" s="69"/>
      <c r="Z136" s="70">
        <f>T136+U136+V136+W136+X136+Y136</f>
        <v>26817.9</v>
      </c>
      <c r="AA136" s="68">
        <v>2017</v>
      </c>
    </row>
    <row r="137" spans="1:32" ht="4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17" t="s">
        <v>113</v>
      </c>
      <c r="S137" s="15" t="s">
        <v>175</v>
      </c>
      <c r="T137" s="8">
        <v>6722.4</v>
      </c>
      <c r="U137" s="8">
        <v>5804.6</v>
      </c>
      <c r="V137" s="8">
        <v>5804.6</v>
      </c>
      <c r="W137" s="8">
        <v>5804.6</v>
      </c>
      <c r="X137" s="8">
        <v>5804.6</v>
      </c>
      <c r="Y137" s="8">
        <v>5804.6</v>
      </c>
      <c r="Z137" s="5">
        <v>5804.6</v>
      </c>
      <c r="AA137" s="15">
        <v>2020</v>
      </c>
    </row>
    <row r="138" spans="1:32" ht="45.6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17" t="s">
        <v>114</v>
      </c>
      <c r="S138" s="15" t="s">
        <v>55</v>
      </c>
      <c r="T138" s="21">
        <v>43</v>
      </c>
      <c r="U138" s="21">
        <v>55</v>
      </c>
      <c r="V138" s="21"/>
      <c r="W138" s="21">
        <v>20</v>
      </c>
      <c r="X138" s="21">
        <v>92</v>
      </c>
      <c r="Y138" s="21">
        <v>92</v>
      </c>
      <c r="Z138" s="6">
        <f t="shared" ref="Z138:Z215" si="36">T138+U138+V138+W138+X138+Y138</f>
        <v>302</v>
      </c>
      <c r="AA138" s="15">
        <v>2020</v>
      </c>
    </row>
    <row r="139" spans="1:32" ht="45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17" t="s">
        <v>115</v>
      </c>
      <c r="S139" s="15" t="s">
        <v>55</v>
      </c>
      <c r="T139" s="21">
        <f>4367-2367</f>
        <v>2000</v>
      </c>
      <c r="U139" s="21">
        <f>2540+172+150</f>
        <v>2862</v>
      </c>
      <c r="V139" s="21">
        <v>2500</v>
      </c>
      <c r="W139" s="21">
        <v>2500</v>
      </c>
      <c r="X139" s="21">
        <v>2300</v>
      </c>
      <c r="Y139" s="21">
        <v>2300</v>
      </c>
      <c r="Z139" s="6">
        <f t="shared" si="36"/>
        <v>14462</v>
      </c>
      <c r="AA139" s="15">
        <v>2020</v>
      </c>
    </row>
    <row r="140" spans="1:32" ht="30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17" t="s">
        <v>116</v>
      </c>
      <c r="S140" s="15" t="s">
        <v>21</v>
      </c>
      <c r="T140" s="8">
        <v>78529</v>
      </c>
      <c r="U140" s="8">
        <v>64700</v>
      </c>
      <c r="V140" s="8">
        <v>60000</v>
      </c>
      <c r="W140" s="8">
        <v>60000</v>
      </c>
      <c r="X140" s="8">
        <v>55000</v>
      </c>
      <c r="Y140" s="8">
        <v>55000</v>
      </c>
      <c r="Z140" s="5">
        <f t="shared" si="36"/>
        <v>373229</v>
      </c>
      <c r="AA140" s="15">
        <v>2020</v>
      </c>
    </row>
    <row r="141" spans="1:32" s="73" customFormat="1" ht="33" customHeight="1" x14ac:dyDescent="0.25">
      <c r="A141" s="66" t="s">
        <v>23</v>
      </c>
      <c r="B141" s="66" t="s">
        <v>24</v>
      </c>
      <c r="C141" s="66" t="s">
        <v>25</v>
      </c>
      <c r="D141" s="66" t="s">
        <v>23</v>
      </c>
      <c r="E141" s="66" t="s">
        <v>33</v>
      </c>
      <c r="F141" s="66" t="s">
        <v>23</v>
      </c>
      <c r="G141" s="66" t="s">
        <v>32</v>
      </c>
      <c r="H141" s="66" t="s">
        <v>23</v>
      </c>
      <c r="I141" s="66" t="s">
        <v>31</v>
      </c>
      <c r="J141" s="66" t="s">
        <v>24</v>
      </c>
      <c r="K141" s="66" t="s">
        <v>23</v>
      </c>
      <c r="L141" s="66" t="s">
        <v>34</v>
      </c>
      <c r="M141" s="66" t="s">
        <v>23</v>
      </c>
      <c r="N141" s="66" t="s">
        <v>23</v>
      </c>
      <c r="O141" s="66" t="s">
        <v>23</v>
      </c>
      <c r="P141" s="66" t="s">
        <v>23</v>
      </c>
      <c r="Q141" s="66" t="s">
        <v>23</v>
      </c>
      <c r="R141" s="67" t="s">
        <v>172</v>
      </c>
      <c r="S141" s="68" t="s">
        <v>59</v>
      </c>
      <c r="T141" s="70">
        <f>8750.1-1323.9</f>
        <v>7426.2000000000007</v>
      </c>
      <c r="U141" s="70">
        <f>4000-420.3-400</f>
        <v>3179.7</v>
      </c>
      <c r="V141" s="70">
        <f>V142+V143+V144</f>
        <v>14856.4</v>
      </c>
      <c r="W141" s="70">
        <v>2500</v>
      </c>
      <c r="X141" s="70">
        <v>3174.6</v>
      </c>
      <c r="Y141" s="70">
        <v>3174.6</v>
      </c>
      <c r="Z141" s="70">
        <f t="shared" si="36"/>
        <v>34311.5</v>
      </c>
      <c r="AA141" s="68">
        <v>2020</v>
      </c>
      <c r="AB141" s="46"/>
      <c r="AC141" s="86"/>
      <c r="AD141" s="86"/>
      <c r="AE141" s="87"/>
      <c r="AF141" s="87"/>
    </row>
    <row r="142" spans="1:32" s="73" customFormat="1" ht="33" customHeight="1" x14ac:dyDescent="0.25">
      <c r="A142" s="66" t="s">
        <v>23</v>
      </c>
      <c r="B142" s="66" t="s">
        <v>24</v>
      </c>
      <c r="C142" s="66" t="s">
        <v>25</v>
      </c>
      <c r="D142" s="66" t="s">
        <v>23</v>
      </c>
      <c r="E142" s="66" t="s">
        <v>33</v>
      </c>
      <c r="F142" s="66" t="s">
        <v>23</v>
      </c>
      <c r="G142" s="66" t="s">
        <v>32</v>
      </c>
      <c r="H142" s="66" t="s">
        <v>23</v>
      </c>
      <c r="I142" s="66" t="s">
        <v>31</v>
      </c>
      <c r="J142" s="66" t="s">
        <v>24</v>
      </c>
      <c r="K142" s="66" t="s">
        <v>23</v>
      </c>
      <c r="L142" s="66" t="s">
        <v>34</v>
      </c>
      <c r="M142" s="66" t="s">
        <v>23</v>
      </c>
      <c r="N142" s="66" t="s">
        <v>23</v>
      </c>
      <c r="O142" s="66" t="s">
        <v>23</v>
      </c>
      <c r="P142" s="66" t="s">
        <v>23</v>
      </c>
      <c r="Q142" s="66" t="s">
        <v>23</v>
      </c>
      <c r="R142" s="67" t="s">
        <v>172</v>
      </c>
      <c r="S142" s="68" t="s">
        <v>59</v>
      </c>
      <c r="T142" s="69">
        <f>8750.1-1323.9</f>
        <v>7426.2000000000007</v>
      </c>
      <c r="U142" s="69">
        <f>4000-420.3-400</f>
        <v>3179.7</v>
      </c>
      <c r="V142" s="69">
        <f>2633-20-1100-100-322.5-125</f>
        <v>965.5</v>
      </c>
      <c r="W142" s="69">
        <v>2500</v>
      </c>
      <c r="X142" s="69">
        <v>3174.6</v>
      </c>
      <c r="Y142" s="69">
        <v>3174.6</v>
      </c>
      <c r="Z142" s="70">
        <f t="shared" ref="Z142:Z143" si="37">T142+U142+V142+W142+X142+Y142</f>
        <v>20420.599999999999</v>
      </c>
      <c r="AA142" s="68">
        <v>2020</v>
      </c>
      <c r="AB142" s="46"/>
      <c r="AC142" s="86"/>
      <c r="AD142" s="86"/>
      <c r="AE142" s="87"/>
      <c r="AF142" s="87"/>
    </row>
    <row r="143" spans="1:32" s="73" customFormat="1" ht="33" customHeight="1" x14ac:dyDescent="0.25">
      <c r="A143" s="66" t="s">
        <v>23</v>
      </c>
      <c r="B143" s="66" t="s">
        <v>24</v>
      </c>
      <c r="C143" s="66" t="s">
        <v>25</v>
      </c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34</v>
      </c>
      <c r="M143" s="66" t="s">
        <v>178</v>
      </c>
      <c r="N143" s="66" t="s">
        <v>23</v>
      </c>
      <c r="O143" s="66" t="s">
        <v>39</v>
      </c>
      <c r="P143" s="66" t="s">
        <v>24</v>
      </c>
      <c r="Q143" s="66" t="s">
        <v>205</v>
      </c>
      <c r="R143" s="67" t="s">
        <v>172</v>
      </c>
      <c r="S143" s="68" t="s">
        <v>59</v>
      </c>
      <c r="T143" s="69"/>
      <c r="U143" s="69"/>
      <c r="V143" s="69">
        <v>1389.1</v>
      </c>
      <c r="W143" s="69"/>
      <c r="X143" s="69"/>
      <c r="Y143" s="69"/>
      <c r="Z143" s="70">
        <f t="shared" si="37"/>
        <v>1389.1</v>
      </c>
      <c r="AA143" s="68">
        <v>2017</v>
      </c>
      <c r="AB143" s="46"/>
      <c r="AC143" s="86"/>
      <c r="AD143" s="86"/>
      <c r="AE143" s="87"/>
      <c r="AF143" s="87"/>
    </row>
    <row r="144" spans="1:32" s="73" customFormat="1" ht="33" customHeight="1" x14ac:dyDescent="0.25">
      <c r="A144" s="66" t="s">
        <v>23</v>
      </c>
      <c r="B144" s="66" t="s">
        <v>24</v>
      </c>
      <c r="C144" s="66" t="s">
        <v>25</v>
      </c>
      <c r="D144" s="66" t="s">
        <v>23</v>
      </c>
      <c r="E144" s="66" t="s">
        <v>33</v>
      </c>
      <c r="F144" s="66" t="s">
        <v>23</v>
      </c>
      <c r="G144" s="66" t="s">
        <v>32</v>
      </c>
      <c r="H144" s="66" t="s">
        <v>23</v>
      </c>
      <c r="I144" s="66" t="s">
        <v>31</v>
      </c>
      <c r="J144" s="66" t="s">
        <v>24</v>
      </c>
      <c r="K144" s="66" t="s">
        <v>23</v>
      </c>
      <c r="L144" s="66" t="s">
        <v>34</v>
      </c>
      <c r="M144" s="66" t="s">
        <v>24</v>
      </c>
      <c r="N144" s="66" t="s">
        <v>23</v>
      </c>
      <c r="O144" s="66" t="s">
        <v>39</v>
      </c>
      <c r="P144" s="66" t="s">
        <v>24</v>
      </c>
      <c r="Q144" s="66" t="s">
        <v>208</v>
      </c>
      <c r="R144" s="67" t="s">
        <v>172</v>
      </c>
      <c r="S144" s="68" t="s">
        <v>59</v>
      </c>
      <c r="T144" s="69"/>
      <c r="U144" s="69"/>
      <c r="V144" s="69">
        <v>12501.8</v>
      </c>
      <c r="W144" s="69"/>
      <c r="X144" s="69"/>
      <c r="Y144" s="69"/>
      <c r="Z144" s="70">
        <f t="shared" ref="Z144" si="38">T144+U144+V144+W144+X144+Y144</f>
        <v>12501.8</v>
      </c>
      <c r="AA144" s="68">
        <v>2017</v>
      </c>
      <c r="AB144" s="46"/>
      <c r="AC144" s="86"/>
      <c r="AD144" s="86"/>
      <c r="AE144" s="87"/>
      <c r="AF144" s="87"/>
    </row>
    <row r="145" spans="1:30" ht="30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17" t="s">
        <v>117</v>
      </c>
      <c r="S145" s="15" t="s">
        <v>55</v>
      </c>
      <c r="T145" s="18">
        <f>5+6</f>
        <v>11</v>
      </c>
      <c r="U145" s="18">
        <v>6</v>
      </c>
      <c r="V145" s="18">
        <v>23</v>
      </c>
      <c r="W145" s="18">
        <v>2</v>
      </c>
      <c r="X145" s="18">
        <v>2</v>
      </c>
      <c r="Y145" s="18">
        <v>2</v>
      </c>
      <c r="Z145" s="6">
        <f t="shared" si="36"/>
        <v>46</v>
      </c>
      <c r="AA145" s="15">
        <v>2020</v>
      </c>
    </row>
    <row r="146" spans="1:30" ht="30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17" t="s">
        <v>118</v>
      </c>
      <c r="S146" s="15" t="s">
        <v>55</v>
      </c>
      <c r="T146" s="18">
        <f>9+6</f>
        <v>15</v>
      </c>
      <c r="U146" s="18">
        <v>3</v>
      </c>
      <c r="V146" s="18">
        <v>1</v>
      </c>
      <c r="W146" s="18">
        <v>2</v>
      </c>
      <c r="X146" s="18">
        <v>2</v>
      </c>
      <c r="Y146" s="18">
        <v>2</v>
      </c>
      <c r="Z146" s="6">
        <f t="shared" si="36"/>
        <v>25</v>
      </c>
      <c r="AA146" s="15">
        <v>2020</v>
      </c>
    </row>
    <row r="147" spans="1:30" ht="45.6" customHeight="1" x14ac:dyDescent="0.25">
      <c r="A147" s="66"/>
      <c r="B147" s="66"/>
      <c r="C147" s="66"/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34</v>
      </c>
      <c r="M147" s="66" t="s">
        <v>23</v>
      </c>
      <c r="N147" s="66" t="s">
        <v>23</v>
      </c>
      <c r="O147" s="66" t="s">
        <v>23</v>
      </c>
      <c r="P147" s="66" t="s">
        <v>23</v>
      </c>
      <c r="Q147" s="66" t="s">
        <v>23</v>
      </c>
      <c r="R147" s="71" t="s">
        <v>119</v>
      </c>
      <c r="S147" s="68" t="s">
        <v>59</v>
      </c>
      <c r="T147" s="70">
        <f t="shared" ref="T147:Z147" si="39">T149+T152+T155+T158</f>
        <v>12968.2</v>
      </c>
      <c r="U147" s="70">
        <f t="shared" si="39"/>
        <v>13547.599999999999</v>
      </c>
      <c r="V147" s="70">
        <f t="shared" si="39"/>
        <v>22040.5</v>
      </c>
      <c r="W147" s="70">
        <f t="shared" si="39"/>
        <v>21742.100000000002</v>
      </c>
      <c r="X147" s="70">
        <f t="shared" si="39"/>
        <v>21479.7</v>
      </c>
      <c r="Y147" s="70">
        <f t="shared" si="39"/>
        <v>21479.7</v>
      </c>
      <c r="Z147" s="70">
        <f t="shared" si="39"/>
        <v>113257.8</v>
      </c>
      <c r="AA147" s="68">
        <v>2020</v>
      </c>
    </row>
    <row r="148" spans="1:30" ht="32.450000000000003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17" t="s">
        <v>120</v>
      </c>
      <c r="S148" s="15" t="s">
        <v>28</v>
      </c>
      <c r="T148" s="8">
        <f t="shared" ref="T148:Z148" si="40">T150+T153+T156</f>
        <v>7673</v>
      </c>
      <c r="U148" s="8">
        <f t="shared" si="40"/>
        <v>4758</v>
      </c>
      <c r="V148" s="8">
        <f t="shared" si="40"/>
        <v>4301.5</v>
      </c>
      <c r="W148" s="8">
        <f t="shared" si="40"/>
        <v>1170</v>
      </c>
      <c r="X148" s="8">
        <f t="shared" si="40"/>
        <v>6482.5</v>
      </c>
      <c r="Y148" s="8">
        <f t="shared" si="40"/>
        <v>6482.5</v>
      </c>
      <c r="Z148" s="8">
        <f t="shared" si="40"/>
        <v>30867.5</v>
      </c>
      <c r="AA148" s="15">
        <v>2020</v>
      </c>
    </row>
    <row r="149" spans="1:30" ht="45" x14ac:dyDescent="0.25">
      <c r="A149" s="66" t="s">
        <v>23</v>
      </c>
      <c r="B149" s="66" t="s">
        <v>23</v>
      </c>
      <c r="C149" s="66" t="s">
        <v>34</v>
      </c>
      <c r="D149" s="66" t="s">
        <v>23</v>
      </c>
      <c r="E149" s="66" t="s">
        <v>33</v>
      </c>
      <c r="F149" s="66" t="s">
        <v>23</v>
      </c>
      <c r="G149" s="66" t="s">
        <v>32</v>
      </c>
      <c r="H149" s="66" t="s">
        <v>23</v>
      </c>
      <c r="I149" s="66" t="s">
        <v>31</v>
      </c>
      <c r="J149" s="66" t="s">
        <v>24</v>
      </c>
      <c r="K149" s="66" t="s">
        <v>23</v>
      </c>
      <c r="L149" s="66" t="s">
        <v>34</v>
      </c>
      <c r="M149" s="66" t="s">
        <v>23</v>
      </c>
      <c r="N149" s="66" t="s">
        <v>23</v>
      </c>
      <c r="O149" s="66" t="s">
        <v>23</v>
      </c>
      <c r="P149" s="66" t="s">
        <v>23</v>
      </c>
      <c r="Q149" s="66" t="s">
        <v>23</v>
      </c>
      <c r="R149" s="67" t="s">
        <v>121</v>
      </c>
      <c r="S149" s="68" t="s">
        <v>59</v>
      </c>
      <c r="T149" s="69">
        <f>2700-593.9</f>
        <v>2106.1</v>
      </c>
      <c r="U149" s="69">
        <f>2465.1-1132-246.5-62.4</f>
        <v>1024.1999999999998</v>
      </c>
      <c r="V149" s="69">
        <v>900</v>
      </c>
      <c r="W149" s="69">
        <v>252.2</v>
      </c>
      <c r="X149" s="69">
        <v>252.2</v>
      </c>
      <c r="Y149" s="69">
        <v>252.2</v>
      </c>
      <c r="Z149" s="70">
        <f t="shared" si="36"/>
        <v>4786.8999999999996</v>
      </c>
      <c r="AA149" s="68">
        <v>2020</v>
      </c>
    </row>
    <row r="150" spans="1:30" ht="29.4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17" t="s">
        <v>122</v>
      </c>
      <c r="S150" s="15" t="s">
        <v>28</v>
      </c>
      <c r="T150" s="8">
        <v>3238</v>
      </c>
      <c r="U150" s="8">
        <v>3553</v>
      </c>
      <c r="V150" s="8">
        <v>2077</v>
      </c>
      <c r="W150" s="8">
        <v>1000</v>
      </c>
      <c r="X150" s="8">
        <v>3929.1</v>
      </c>
      <c r="Y150" s="8">
        <v>3929.1</v>
      </c>
      <c r="Z150" s="5">
        <f>T150+U150+V150+W150+X150+Y150</f>
        <v>17726.2</v>
      </c>
      <c r="AA150" s="15">
        <v>2020</v>
      </c>
    </row>
    <row r="151" spans="1:30" ht="30.6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17" t="s">
        <v>123</v>
      </c>
      <c r="S151" s="15" t="s">
        <v>55</v>
      </c>
      <c r="T151" s="21">
        <v>6</v>
      </c>
      <c r="U151" s="21">
        <v>4</v>
      </c>
      <c r="V151" s="21"/>
      <c r="W151" s="21">
        <v>4</v>
      </c>
      <c r="X151" s="21">
        <v>4</v>
      </c>
      <c r="Y151" s="21">
        <v>4</v>
      </c>
      <c r="Z151" s="6">
        <f t="shared" si="36"/>
        <v>22</v>
      </c>
      <c r="AA151" s="15">
        <v>2020</v>
      </c>
    </row>
    <row r="152" spans="1:30" ht="45" x14ac:dyDescent="0.25">
      <c r="A152" s="66" t="s">
        <v>23</v>
      </c>
      <c r="B152" s="66" t="s">
        <v>23</v>
      </c>
      <c r="C152" s="66" t="s">
        <v>33</v>
      </c>
      <c r="D152" s="66" t="s">
        <v>23</v>
      </c>
      <c r="E152" s="66" t="s">
        <v>33</v>
      </c>
      <c r="F152" s="66" t="s">
        <v>23</v>
      </c>
      <c r="G152" s="66" t="s">
        <v>32</v>
      </c>
      <c r="H152" s="66" t="s">
        <v>23</v>
      </c>
      <c r="I152" s="66" t="s">
        <v>31</v>
      </c>
      <c r="J152" s="66" t="s">
        <v>24</v>
      </c>
      <c r="K152" s="66" t="s">
        <v>23</v>
      </c>
      <c r="L152" s="66" t="s">
        <v>34</v>
      </c>
      <c r="M152" s="66" t="s">
        <v>23</v>
      </c>
      <c r="N152" s="66" t="s">
        <v>23</v>
      </c>
      <c r="O152" s="66" t="s">
        <v>23</v>
      </c>
      <c r="P152" s="66" t="s">
        <v>23</v>
      </c>
      <c r="Q152" s="66" t="s">
        <v>23</v>
      </c>
      <c r="R152" s="67" t="s">
        <v>121</v>
      </c>
      <c r="S152" s="68" t="s">
        <v>59</v>
      </c>
      <c r="T152" s="69">
        <f>813-490</f>
        <v>323</v>
      </c>
      <c r="U152" s="69">
        <f>742.3-200-100-176.9</f>
        <v>265.39999999999998</v>
      </c>
      <c r="V152" s="69">
        <f>500-24.8-343</f>
        <v>132.19999999999999</v>
      </c>
      <c r="W152" s="69">
        <v>150</v>
      </c>
      <c r="X152" s="69">
        <v>150</v>
      </c>
      <c r="Y152" s="69">
        <v>150</v>
      </c>
      <c r="Z152" s="70">
        <f t="shared" si="36"/>
        <v>1170.5999999999999</v>
      </c>
      <c r="AA152" s="68">
        <v>2020</v>
      </c>
      <c r="AB152" s="86"/>
    </row>
    <row r="153" spans="1:30" ht="30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17" t="s">
        <v>124</v>
      </c>
      <c r="S153" s="15" t="s">
        <v>28</v>
      </c>
      <c r="T153" s="8">
        <f>1000+2400</f>
        <v>3400</v>
      </c>
      <c r="U153" s="8">
        <f>913-708</f>
        <v>205</v>
      </c>
      <c r="V153" s="8">
        <v>602</v>
      </c>
      <c r="W153" s="8">
        <v>70</v>
      </c>
      <c r="X153" s="8">
        <v>867.4</v>
      </c>
      <c r="Y153" s="8">
        <v>867.4</v>
      </c>
      <c r="Z153" s="5">
        <f t="shared" si="36"/>
        <v>6011.7999999999993</v>
      </c>
      <c r="AA153" s="15">
        <v>2020</v>
      </c>
    </row>
    <row r="154" spans="1:30" ht="30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7" t="s">
        <v>125</v>
      </c>
      <c r="S154" s="15" t="s">
        <v>12</v>
      </c>
      <c r="T154" s="8"/>
      <c r="U154" s="8">
        <f>365+498</f>
        <v>863</v>
      </c>
      <c r="V154" s="8">
        <v>125</v>
      </c>
      <c r="W154" s="8">
        <v>100</v>
      </c>
      <c r="X154" s="8">
        <v>347</v>
      </c>
      <c r="Y154" s="8">
        <v>347</v>
      </c>
      <c r="Z154" s="5">
        <f t="shared" si="36"/>
        <v>1782</v>
      </c>
      <c r="AA154" s="15">
        <v>2020</v>
      </c>
    </row>
    <row r="155" spans="1:30" ht="45" x14ac:dyDescent="0.25">
      <c r="A155" s="66" t="s">
        <v>23</v>
      </c>
      <c r="B155" s="66" t="s">
        <v>23</v>
      </c>
      <c r="C155" s="66" t="s">
        <v>30</v>
      </c>
      <c r="D155" s="66" t="s">
        <v>23</v>
      </c>
      <c r="E155" s="66" t="s">
        <v>33</v>
      </c>
      <c r="F155" s="66" t="s">
        <v>23</v>
      </c>
      <c r="G155" s="66" t="s">
        <v>32</v>
      </c>
      <c r="H155" s="66" t="s">
        <v>23</v>
      </c>
      <c r="I155" s="66" t="s">
        <v>31</v>
      </c>
      <c r="J155" s="66" t="s">
        <v>24</v>
      </c>
      <c r="K155" s="66" t="s">
        <v>23</v>
      </c>
      <c r="L155" s="66" t="s">
        <v>34</v>
      </c>
      <c r="M155" s="66" t="s">
        <v>23</v>
      </c>
      <c r="N155" s="66" t="s">
        <v>23</v>
      </c>
      <c r="O155" s="66" t="s">
        <v>23</v>
      </c>
      <c r="P155" s="66" t="s">
        <v>23</v>
      </c>
      <c r="Q155" s="66" t="s">
        <v>23</v>
      </c>
      <c r="R155" s="67" t="s">
        <v>121</v>
      </c>
      <c r="S155" s="68" t="s">
        <v>59</v>
      </c>
      <c r="T155" s="69">
        <v>1094.2</v>
      </c>
      <c r="U155" s="69">
        <f>999-129.2-441.6</f>
        <v>428.19999999999993</v>
      </c>
      <c r="V155" s="69">
        <f>700-69-0.7</f>
        <v>630.29999999999995</v>
      </c>
      <c r="W155" s="69">
        <v>200</v>
      </c>
      <c r="X155" s="69">
        <v>200</v>
      </c>
      <c r="Y155" s="69">
        <v>200</v>
      </c>
      <c r="Z155" s="70">
        <f t="shared" si="36"/>
        <v>2752.7</v>
      </c>
      <c r="AA155" s="68">
        <v>2020</v>
      </c>
    </row>
    <row r="156" spans="1:30" ht="30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17" t="s">
        <v>126</v>
      </c>
      <c r="S156" s="15" t="s">
        <v>28</v>
      </c>
      <c r="T156" s="8">
        <f>1944-909</f>
        <v>1035</v>
      </c>
      <c r="U156" s="8">
        <v>1000</v>
      </c>
      <c r="V156" s="8">
        <v>1622.5</v>
      </c>
      <c r="W156" s="8">
        <v>100</v>
      </c>
      <c r="X156" s="8">
        <v>1686</v>
      </c>
      <c r="Y156" s="8">
        <v>1686</v>
      </c>
      <c r="Z156" s="5">
        <f t="shared" si="36"/>
        <v>7129.5</v>
      </c>
      <c r="AA156" s="15">
        <v>2020</v>
      </c>
    </row>
    <row r="157" spans="1:30" ht="30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17" t="s">
        <v>127</v>
      </c>
      <c r="S157" s="15" t="s">
        <v>28</v>
      </c>
      <c r="T157" s="8">
        <v>250</v>
      </c>
      <c r="U157" s="8">
        <v>280</v>
      </c>
      <c r="V157" s="8">
        <v>350</v>
      </c>
      <c r="W157" s="8">
        <v>270</v>
      </c>
      <c r="X157" s="8">
        <v>270</v>
      </c>
      <c r="Y157" s="8">
        <v>270</v>
      </c>
      <c r="Z157" s="5">
        <f t="shared" si="36"/>
        <v>1690</v>
      </c>
      <c r="AA157" s="15">
        <v>2020</v>
      </c>
    </row>
    <row r="158" spans="1:30" ht="45" x14ac:dyDescent="0.25">
      <c r="A158" s="66" t="s">
        <v>23</v>
      </c>
      <c r="B158" s="66" t="s">
        <v>24</v>
      </c>
      <c r="C158" s="66" t="s">
        <v>25</v>
      </c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34</v>
      </c>
      <c r="M158" s="66" t="s">
        <v>23</v>
      </c>
      <c r="N158" s="66" t="s">
        <v>23</v>
      </c>
      <c r="O158" s="66" t="s">
        <v>23</v>
      </c>
      <c r="P158" s="66" t="s">
        <v>23</v>
      </c>
      <c r="Q158" s="66" t="s">
        <v>23</v>
      </c>
      <c r="R158" s="67" t="s">
        <v>121</v>
      </c>
      <c r="S158" s="68" t="s">
        <v>59</v>
      </c>
      <c r="T158" s="69">
        <f>30482.9-20300-474-264</f>
        <v>9444.9000000000015</v>
      </c>
      <c r="U158" s="69">
        <f>9173.4+420.3+1284.7+993.1-41.7</f>
        <v>11829.8</v>
      </c>
      <c r="V158" s="69">
        <f>19658.1-40+759.9+1400-1400</f>
        <v>20378</v>
      </c>
      <c r="W158" s="69">
        <v>21139.9</v>
      </c>
      <c r="X158" s="69">
        <v>20877.5</v>
      </c>
      <c r="Y158" s="69">
        <v>20877.5</v>
      </c>
      <c r="Z158" s="70">
        <f t="shared" si="36"/>
        <v>104547.6</v>
      </c>
      <c r="AA158" s="68">
        <v>2020</v>
      </c>
    </row>
    <row r="159" spans="1:30" s="1" customFormat="1" ht="4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17" t="s">
        <v>128</v>
      </c>
      <c r="S159" s="15" t="s">
        <v>75</v>
      </c>
      <c r="T159" s="8">
        <v>1689.3</v>
      </c>
      <c r="U159" s="8">
        <v>2883.7</v>
      </c>
      <c r="V159" s="8">
        <v>2987.6</v>
      </c>
      <c r="W159" s="8">
        <v>2987.6</v>
      </c>
      <c r="X159" s="8">
        <v>2987.6</v>
      </c>
      <c r="Y159" s="8">
        <v>2987.6</v>
      </c>
      <c r="Z159" s="5">
        <f>(T159+U159+V159+W159+X159+Y159)</f>
        <v>16523.400000000001</v>
      </c>
      <c r="AA159" s="15">
        <v>2020</v>
      </c>
      <c r="AB159" s="46"/>
      <c r="AC159" s="46"/>
      <c r="AD159" s="46"/>
    </row>
    <row r="160" spans="1:30" ht="45" x14ac:dyDescent="0.25">
      <c r="A160" s="66" t="s">
        <v>23</v>
      </c>
      <c r="B160" s="66" t="s">
        <v>24</v>
      </c>
      <c r="C160" s="66" t="s">
        <v>25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34</v>
      </c>
      <c r="M160" s="66" t="s">
        <v>23</v>
      </c>
      <c r="N160" s="66" t="s">
        <v>23</v>
      </c>
      <c r="O160" s="66" t="s">
        <v>23</v>
      </c>
      <c r="P160" s="66" t="s">
        <v>23</v>
      </c>
      <c r="Q160" s="66" t="s">
        <v>23</v>
      </c>
      <c r="R160" s="67" t="s">
        <v>129</v>
      </c>
      <c r="S160" s="68" t="s">
        <v>59</v>
      </c>
      <c r="T160" s="70">
        <v>919</v>
      </c>
      <c r="U160" s="70">
        <f>1250+185-125</f>
        <v>1310</v>
      </c>
      <c r="V160" s="70">
        <f>1000+40+20+100+200+100</f>
        <v>1460</v>
      </c>
      <c r="W160" s="70">
        <v>800</v>
      </c>
      <c r="X160" s="70">
        <v>800</v>
      </c>
      <c r="Y160" s="70">
        <v>600</v>
      </c>
      <c r="Z160" s="70">
        <f t="shared" si="36"/>
        <v>5889</v>
      </c>
      <c r="AA160" s="68">
        <v>2020</v>
      </c>
    </row>
    <row r="161" spans="1:32" s="22" customFormat="1" ht="30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17" t="s">
        <v>130</v>
      </c>
      <c r="S161" s="15" t="s">
        <v>55</v>
      </c>
      <c r="T161" s="18">
        <v>70</v>
      </c>
      <c r="U161" s="18">
        <v>75</v>
      </c>
      <c r="V161" s="18">
        <v>85</v>
      </c>
      <c r="W161" s="18">
        <v>60</v>
      </c>
      <c r="X161" s="18">
        <v>60</v>
      </c>
      <c r="Y161" s="18">
        <v>60</v>
      </c>
      <c r="Z161" s="6">
        <f t="shared" si="36"/>
        <v>410</v>
      </c>
      <c r="AA161" s="15">
        <v>2020</v>
      </c>
      <c r="AB161" s="46"/>
      <c r="AC161" s="46"/>
      <c r="AD161" s="46"/>
      <c r="AE161" s="1"/>
      <c r="AF161" s="1"/>
    </row>
    <row r="162" spans="1:32" s="22" customFormat="1" ht="30" x14ac:dyDescent="0.25">
      <c r="A162" s="66"/>
      <c r="B162" s="66"/>
      <c r="C162" s="66"/>
      <c r="D162" s="66" t="s">
        <v>23</v>
      </c>
      <c r="E162" s="66" t="s">
        <v>33</v>
      </c>
      <c r="F162" s="66" t="s">
        <v>23</v>
      </c>
      <c r="G162" s="66" t="s">
        <v>32</v>
      </c>
      <c r="H162" s="66" t="s">
        <v>23</v>
      </c>
      <c r="I162" s="66" t="s">
        <v>31</v>
      </c>
      <c r="J162" s="66" t="s">
        <v>24</v>
      </c>
      <c r="K162" s="66" t="s">
        <v>23</v>
      </c>
      <c r="L162" s="66" t="s">
        <v>34</v>
      </c>
      <c r="M162" s="66" t="s">
        <v>23</v>
      </c>
      <c r="N162" s="66" t="s">
        <v>23</v>
      </c>
      <c r="O162" s="66" t="s">
        <v>23</v>
      </c>
      <c r="P162" s="66" t="s">
        <v>23</v>
      </c>
      <c r="Q162" s="66" t="s">
        <v>23</v>
      </c>
      <c r="R162" s="67" t="s">
        <v>188</v>
      </c>
      <c r="S162" s="68" t="s">
        <v>59</v>
      </c>
      <c r="T162" s="69"/>
      <c r="U162" s="70">
        <f>U164</f>
        <v>7566.6</v>
      </c>
      <c r="V162" s="70">
        <f>V164+V165</f>
        <v>19246.400000000001</v>
      </c>
      <c r="W162" s="69"/>
      <c r="X162" s="69"/>
      <c r="Y162" s="69"/>
      <c r="Z162" s="70">
        <f t="shared" ref="Z162:Z169" si="41">T162+U162+V162+W162+X162+Y162</f>
        <v>26813</v>
      </c>
      <c r="AA162" s="68">
        <v>2017</v>
      </c>
      <c r="AB162" s="46"/>
      <c r="AC162" s="46"/>
      <c r="AD162" s="46"/>
      <c r="AE162" s="1"/>
      <c r="AF162" s="1"/>
    </row>
    <row r="163" spans="1:32" s="1" customFormat="1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233</v>
      </c>
      <c r="S163" s="15" t="s">
        <v>54</v>
      </c>
      <c r="T163" s="18"/>
      <c r="U163" s="18">
        <v>47</v>
      </c>
      <c r="V163" s="18">
        <f>V169+V170</f>
        <v>136</v>
      </c>
      <c r="W163" s="18"/>
      <c r="X163" s="18"/>
      <c r="Y163" s="18"/>
      <c r="Z163" s="6">
        <f t="shared" ref="Z163" si="42">T163+U163+V163+W163+X163+Y163</f>
        <v>183</v>
      </c>
      <c r="AA163" s="15">
        <v>2017</v>
      </c>
      <c r="AB163" s="46"/>
      <c r="AC163" s="46"/>
      <c r="AD163" s="46"/>
    </row>
    <row r="164" spans="1:32" s="22" customFormat="1" ht="30" x14ac:dyDescent="0.25">
      <c r="A164" s="66" t="s">
        <v>23</v>
      </c>
      <c r="B164" s="66" t="s">
        <v>23</v>
      </c>
      <c r="C164" s="66" t="s">
        <v>39</v>
      </c>
      <c r="D164" s="66" t="s">
        <v>23</v>
      </c>
      <c r="E164" s="66" t="s">
        <v>33</v>
      </c>
      <c r="F164" s="66" t="s">
        <v>23</v>
      </c>
      <c r="G164" s="66" t="s">
        <v>32</v>
      </c>
      <c r="H164" s="66" t="s">
        <v>23</v>
      </c>
      <c r="I164" s="66" t="s">
        <v>31</v>
      </c>
      <c r="J164" s="66" t="s">
        <v>24</v>
      </c>
      <c r="K164" s="66" t="s">
        <v>23</v>
      </c>
      <c r="L164" s="66" t="s">
        <v>34</v>
      </c>
      <c r="M164" s="66" t="s">
        <v>23</v>
      </c>
      <c r="N164" s="66" t="s">
        <v>23</v>
      </c>
      <c r="O164" s="66" t="s">
        <v>23</v>
      </c>
      <c r="P164" s="66" t="s">
        <v>23</v>
      </c>
      <c r="Q164" s="66" t="s">
        <v>23</v>
      </c>
      <c r="R164" s="67" t="s">
        <v>188</v>
      </c>
      <c r="S164" s="68" t="s">
        <v>59</v>
      </c>
      <c r="T164" s="69"/>
      <c r="U164" s="70">
        <f>9884-2300-17.4</f>
        <v>7566.6</v>
      </c>
      <c r="V164" s="70"/>
      <c r="W164" s="69"/>
      <c r="X164" s="69"/>
      <c r="Y164" s="69"/>
      <c r="Z164" s="70">
        <f t="shared" ref="Z164" si="43">T164+U164+V164+W164+X164+Y164</f>
        <v>7566.6</v>
      </c>
      <c r="AA164" s="68">
        <v>2016</v>
      </c>
      <c r="AB164" s="46"/>
      <c r="AC164" s="46"/>
      <c r="AD164" s="46"/>
      <c r="AE164" s="1"/>
      <c r="AF164" s="1"/>
    </row>
    <row r="165" spans="1:32" s="22" customFormat="1" ht="30" x14ac:dyDescent="0.25">
      <c r="A165" s="66" t="s">
        <v>23</v>
      </c>
      <c r="B165" s="66" t="s">
        <v>24</v>
      </c>
      <c r="C165" s="66" t="s">
        <v>25</v>
      </c>
      <c r="D165" s="66" t="s">
        <v>23</v>
      </c>
      <c r="E165" s="66" t="s">
        <v>33</v>
      </c>
      <c r="F165" s="66" t="s">
        <v>23</v>
      </c>
      <c r="G165" s="66" t="s">
        <v>32</v>
      </c>
      <c r="H165" s="66" t="s">
        <v>23</v>
      </c>
      <c r="I165" s="66" t="s">
        <v>31</v>
      </c>
      <c r="J165" s="66" t="s">
        <v>24</v>
      </c>
      <c r="K165" s="66" t="s">
        <v>23</v>
      </c>
      <c r="L165" s="66" t="s">
        <v>34</v>
      </c>
      <c r="M165" s="66" t="s">
        <v>23</v>
      </c>
      <c r="N165" s="66" t="s">
        <v>23</v>
      </c>
      <c r="O165" s="66" t="s">
        <v>23</v>
      </c>
      <c r="P165" s="66" t="s">
        <v>23</v>
      </c>
      <c r="Q165" s="66" t="s">
        <v>23</v>
      </c>
      <c r="R165" s="67" t="s">
        <v>188</v>
      </c>
      <c r="S165" s="68" t="s">
        <v>59</v>
      </c>
      <c r="T165" s="69"/>
      <c r="U165" s="70"/>
      <c r="V165" s="70">
        <f>V166+V167+V168</f>
        <v>19246.400000000001</v>
      </c>
      <c r="W165" s="69"/>
      <c r="X165" s="69"/>
      <c r="Y165" s="69"/>
      <c r="Z165" s="70">
        <f t="shared" ref="Z165" si="44">T165+U165+V165+W165+X165+Y165</f>
        <v>19246.400000000001</v>
      </c>
      <c r="AA165" s="68">
        <v>2017</v>
      </c>
      <c r="AB165" s="46"/>
      <c r="AC165" s="46"/>
      <c r="AD165" s="46"/>
      <c r="AE165" s="1"/>
      <c r="AF165" s="1"/>
    </row>
    <row r="166" spans="1:32" s="22" customFormat="1" ht="30" x14ac:dyDescent="0.25">
      <c r="A166" s="66" t="s">
        <v>23</v>
      </c>
      <c r="B166" s="66" t="s">
        <v>24</v>
      </c>
      <c r="C166" s="66" t="s">
        <v>25</v>
      </c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188</v>
      </c>
      <c r="S166" s="68" t="s">
        <v>59</v>
      </c>
      <c r="T166" s="69"/>
      <c r="U166" s="70"/>
      <c r="V166" s="69">
        <f>2613.8+1977+73.6</f>
        <v>4664.4000000000005</v>
      </c>
      <c r="W166" s="69"/>
      <c r="X166" s="69"/>
      <c r="Y166" s="69"/>
      <c r="Z166" s="70">
        <f t="shared" ref="Z166:Z167" si="45">T166+U166+V166+W166+X166+Y166</f>
        <v>4664.4000000000005</v>
      </c>
      <c r="AA166" s="68">
        <v>2017</v>
      </c>
      <c r="AB166" s="46"/>
      <c r="AC166" s="46"/>
      <c r="AD166" s="46"/>
      <c r="AE166" s="1"/>
      <c r="AF166" s="1"/>
    </row>
    <row r="167" spans="1:32" s="22" customFormat="1" ht="30" x14ac:dyDescent="0.25">
      <c r="A167" s="66" t="s">
        <v>23</v>
      </c>
      <c r="B167" s="66" t="s">
        <v>24</v>
      </c>
      <c r="C167" s="66" t="s">
        <v>25</v>
      </c>
      <c r="D167" s="66" t="s">
        <v>23</v>
      </c>
      <c r="E167" s="66" t="s">
        <v>33</v>
      </c>
      <c r="F167" s="66" t="s">
        <v>23</v>
      </c>
      <c r="G167" s="66" t="s">
        <v>32</v>
      </c>
      <c r="H167" s="66" t="s">
        <v>23</v>
      </c>
      <c r="I167" s="66" t="s">
        <v>31</v>
      </c>
      <c r="J167" s="66" t="s">
        <v>24</v>
      </c>
      <c r="K167" s="66" t="s">
        <v>23</v>
      </c>
      <c r="L167" s="66" t="s">
        <v>34</v>
      </c>
      <c r="M167" s="66" t="s">
        <v>178</v>
      </c>
      <c r="N167" s="66" t="s">
        <v>23</v>
      </c>
      <c r="O167" s="66" t="s">
        <v>39</v>
      </c>
      <c r="P167" s="66" t="s">
        <v>24</v>
      </c>
      <c r="Q167" s="66" t="s">
        <v>205</v>
      </c>
      <c r="R167" s="67" t="s">
        <v>188</v>
      </c>
      <c r="S167" s="68" t="s">
        <v>59</v>
      </c>
      <c r="T167" s="69"/>
      <c r="U167" s="70"/>
      <c r="V167" s="69">
        <v>1458.2</v>
      </c>
      <c r="W167" s="69"/>
      <c r="X167" s="69"/>
      <c r="Y167" s="69"/>
      <c r="Z167" s="70">
        <f t="shared" si="45"/>
        <v>1458.2</v>
      </c>
      <c r="AA167" s="68">
        <v>2017</v>
      </c>
      <c r="AB167" s="46"/>
      <c r="AC167" s="46"/>
      <c r="AD167" s="46"/>
      <c r="AE167" s="1"/>
      <c r="AF167" s="1"/>
    </row>
    <row r="168" spans="1:32" s="22" customFormat="1" ht="30" x14ac:dyDescent="0.25">
      <c r="A168" s="66" t="s">
        <v>23</v>
      </c>
      <c r="B168" s="66" t="s">
        <v>24</v>
      </c>
      <c r="C168" s="66" t="s">
        <v>25</v>
      </c>
      <c r="D168" s="66" t="s">
        <v>23</v>
      </c>
      <c r="E168" s="66" t="s">
        <v>33</v>
      </c>
      <c r="F168" s="66" t="s">
        <v>23</v>
      </c>
      <c r="G168" s="66" t="s">
        <v>32</v>
      </c>
      <c r="H168" s="66" t="s">
        <v>23</v>
      </c>
      <c r="I168" s="66" t="s">
        <v>31</v>
      </c>
      <c r="J168" s="66" t="s">
        <v>24</v>
      </c>
      <c r="K168" s="66" t="s">
        <v>23</v>
      </c>
      <c r="L168" s="66" t="s">
        <v>34</v>
      </c>
      <c r="M168" s="66" t="s">
        <v>24</v>
      </c>
      <c r="N168" s="66" t="s">
        <v>23</v>
      </c>
      <c r="O168" s="66" t="s">
        <v>39</v>
      </c>
      <c r="P168" s="66" t="s">
        <v>24</v>
      </c>
      <c r="Q168" s="66" t="s">
        <v>208</v>
      </c>
      <c r="R168" s="67" t="s">
        <v>188</v>
      </c>
      <c r="S168" s="68" t="s">
        <v>59</v>
      </c>
      <c r="T168" s="69"/>
      <c r="U168" s="70"/>
      <c r="V168" s="69">
        <v>13123.8</v>
      </c>
      <c r="W168" s="69"/>
      <c r="X168" s="69"/>
      <c r="Y168" s="69"/>
      <c r="Z168" s="70">
        <f t="shared" ref="Z168" si="46">T168+U168+V168+W168+X168+Y168</f>
        <v>13123.8</v>
      </c>
      <c r="AA168" s="68">
        <v>2017</v>
      </c>
      <c r="AB168" s="46"/>
      <c r="AC168" s="46"/>
      <c r="AD168" s="46"/>
      <c r="AE168" s="1"/>
      <c r="AF168" s="1"/>
    </row>
    <row r="169" spans="1:32" s="1" customFormat="1" ht="30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17" t="s">
        <v>237</v>
      </c>
      <c r="S169" s="15" t="s">
        <v>54</v>
      </c>
      <c r="T169" s="18"/>
      <c r="U169" s="18">
        <v>47</v>
      </c>
      <c r="V169" s="18">
        <f>9+87</f>
        <v>96</v>
      </c>
      <c r="W169" s="18"/>
      <c r="X169" s="18"/>
      <c r="Y169" s="18"/>
      <c r="Z169" s="6">
        <f t="shared" si="41"/>
        <v>143</v>
      </c>
      <c r="AA169" s="15">
        <v>2017</v>
      </c>
      <c r="AB169" s="46"/>
      <c r="AC169" s="46"/>
      <c r="AD169" s="46"/>
    </row>
    <row r="170" spans="1:32" s="1" customFormat="1" ht="33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17" t="s">
        <v>238</v>
      </c>
      <c r="S170" s="15" t="s">
        <v>54</v>
      </c>
      <c r="T170" s="18"/>
      <c r="U170" s="18"/>
      <c r="V170" s="18">
        <v>40</v>
      </c>
      <c r="W170" s="18"/>
      <c r="X170" s="18"/>
      <c r="Y170" s="18"/>
      <c r="Z170" s="6">
        <f t="shared" ref="Z170" si="47">T170+U170+V170+W170+X170+Y170</f>
        <v>40</v>
      </c>
      <c r="AA170" s="15">
        <v>2017</v>
      </c>
      <c r="AB170" s="46"/>
      <c r="AC170" s="46"/>
      <c r="AD170" s="46"/>
    </row>
    <row r="171" spans="1:32" s="22" customFormat="1" ht="75" x14ac:dyDescent="0.25">
      <c r="A171" s="66" t="s">
        <v>23</v>
      </c>
      <c r="B171" s="66" t="s">
        <v>24</v>
      </c>
      <c r="C171" s="66" t="s">
        <v>25</v>
      </c>
      <c r="D171" s="66" t="s">
        <v>23</v>
      </c>
      <c r="E171" s="66" t="s">
        <v>33</v>
      </c>
      <c r="F171" s="66" t="s">
        <v>23</v>
      </c>
      <c r="G171" s="66" t="s">
        <v>32</v>
      </c>
      <c r="H171" s="66" t="s">
        <v>23</v>
      </c>
      <c r="I171" s="66" t="s">
        <v>31</v>
      </c>
      <c r="J171" s="66" t="s">
        <v>24</v>
      </c>
      <c r="K171" s="66" t="s">
        <v>23</v>
      </c>
      <c r="L171" s="66" t="s">
        <v>34</v>
      </c>
      <c r="M171" s="66" t="s">
        <v>23</v>
      </c>
      <c r="N171" s="66" t="s">
        <v>23</v>
      </c>
      <c r="O171" s="66" t="s">
        <v>23</v>
      </c>
      <c r="P171" s="66" t="s">
        <v>23</v>
      </c>
      <c r="Q171" s="66" t="s">
        <v>23</v>
      </c>
      <c r="R171" s="67" t="s">
        <v>203</v>
      </c>
      <c r="S171" s="68" t="s">
        <v>59</v>
      </c>
      <c r="T171" s="69"/>
      <c r="U171" s="70">
        <v>76158.5</v>
      </c>
      <c r="V171" s="70"/>
      <c r="W171" s="69"/>
      <c r="X171" s="69"/>
      <c r="Y171" s="69"/>
      <c r="Z171" s="70">
        <f t="shared" ref="Z171" si="48">T171+U171+V171+W171+X171+Y171</f>
        <v>76158.5</v>
      </c>
      <c r="AA171" s="68">
        <v>2016</v>
      </c>
      <c r="AB171" s="46"/>
      <c r="AC171" s="46"/>
      <c r="AD171" s="46"/>
      <c r="AE171" s="1"/>
      <c r="AF171" s="1"/>
    </row>
    <row r="172" spans="1:32" s="22" customFormat="1" ht="30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17" t="s">
        <v>141</v>
      </c>
      <c r="S172" s="15" t="s">
        <v>10</v>
      </c>
      <c r="T172" s="21"/>
      <c r="U172" s="21">
        <v>100</v>
      </c>
      <c r="V172" s="21"/>
      <c r="W172" s="21"/>
      <c r="X172" s="21"/>
      <c r="Y172" s="21"/>
      <c r="Z172" s="6">
        <v>100</v>
      </c>
      <c r="AA172" s="15">
        <v>2016</v>
      </c>
      <c r="AB172" s="46"/>
      <c r="AC172" s="46"/>
      <c r="AD172" s="46"/>
      <c r="AE172" s="1"/>
      <c r="AF172" s="1"/>
    </row>
    <row r="173" spans="1:32" s="22" customFormat="1" ht="45" x14ac:dyDescent="0.25">
      <c r="A173" s="66" t="s">
        <v>23</v>
      </c>
      <c r="B173" s="66" t="s">
        <v>24</v>
      </c>
      <c r="C173" s="66" t="s">
        <v>25</v>
      </c>
      <c r="D173" s="66" t="s">
        <v>23</v>
      </c>
      <c r="E173" s="66" t="s">
        <v>33</v>
      </c>
      <c r="F173" s="66" t="s">
        <v>23</v>
      </c>
      <c r="G173" s="66" t="s">
        <v>32</v>
      </c>
      <c r="H173" s="66" t="s">
        <v>23</v>
      </c>
      <c r="I173" s="66" t="s">
        <v>31</v>
      </c>
      <c r="J173" s="66" t="s">
        <v>24</v>
      </c>
      <c r="K173" s="66" t="s">
        <v>23</v>
      </c>
      <c r="L173" s="66" t="s">
        <v>34</v>
      </c>
      <c r="M173" s="66" t="s">
        <v>24</v>
      </c>
      <c r="N173" s="66" t="s">
        <v>23</v>
      </c>
      <c r="O173" s="66" t="s">
        <v>39</v>
      </c>
      <c r="P173" s="66" t="s">
        <v>24</v>
      </c>
      <c r="Q173" s="66" t="s">
        <v>208</v>
      </c>
      <c r="R173" s="67" t="s">
        <v>252</v>
      </c>
      <c r="S173" s="68" t="s">
        <v>59</v>
      </c>
      <c r="T173" s="69"/>
      <c r="U173" s="70"/>
      <c r="V173" s="70">
        <v>43090.8</v>
      </c>
      <c r="W173" s="69"/>
      <c r="X173" s="69"/>
      <c r="Y173" s="69"/>
      <c r="Z173" s="70">
        <f t="shared" ref="Z173:Z175" si="49">T173+U173+V173+W173+X173+Y173</f>
        <v>43090.8</v>
      </c>
      <c r="AA173" s="68">
        <v>2017</v>
      </c>
      <c r="AB173" s="46"/>
      <c r="AC173" s="46"/>
      <c r="AD173" s="46"/>
      <c r="AE173" s="1"/>
      <c r="AF173" s="1"/>
    </row>
    <row r="174" spans="1:32" s="22" customFormat="1" ht="30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17" t="s">
        <v>254</v>
      </c>
      <c r="S174" s="15" t="s">
        <v>54</v>
      </c>
      <c r="T174" s="18"/>
      <c r="U174" s="18"/>
      <c r="V174" s="18">
        <v>12</v>
      </c>
      <c r="W174" s="18"/>
      <c r="X174" s="18"/>
      <c r="Y174" s="18"/>
      <c r="Z174" s="6">
        <f t="shared" si="49"/>
        <v>12</v>
      </c>
      <c r="AA174" s="15">
        <v>2017</v>
      </c>
      <c r="AB174" s="46"/>
      <c r="AC174" s="46"/>
      <c r="AD174" s="46"/>
      <c r="AE174" s="1"/>
      <c r="AF174" s="1"/>
    </row>
    <row r="175" spans="1:32" s="22" customFormat="1" ht="75" x14ac:dyDescent="0.25">
      <c r="A175" s="66" t="s">
        <v>23</v>
      </c>
      <c r="B175" s="66" t="s">
        <v>24</v>
      </c>
      <c r="C175" s="66" t="s">
        <v>25</v>
      </c>
      <c r="D175" s="66" t="s">
        <v>23</v>
      </c>
      <c r="E175" s="66" t="s">
        <v>33</v>
      </c>
      <c r="F175" s="66" t="s">
        <v>23</v>
      </c>
      <c r="G175" s="66" t="s">
        <v>32</v>
      </c>
      <c r="H175" s="66" t="s">
        <v>23</v>
      </c>
      <c r="I175" s="66" t="s">
        <v>31</v>
      </c>
      <c r="J175" s="66" t="s">
        <v>24</v>
      </c>
      <c r="K175" s="66" t="s">
        <v>23</v>
      </c>
      <c r="L175" s="66" t="s">
        <v>34</v>
      </c>
      <c r="M175" s="66" t="s">
        <v>23</v>
      </c>
      <c r="N175" s="66" t="s">
        <v>23</v>
      </c>
      <c r="O175" s="66" t="s">
        <v>23</v>
      </c>
      <c r="P175" s="66" t="s">
        <v>23</v>
      </c>
      <c r="Q175" s="66" t="s">
        <v>23</v>
      </c>
      <c r="R175" s="67" t="s">
        <v>253</v>
      </c>
      <c r="S175" s="68" t="s">
        <v>59</v>
      </c>
      <c r="T175" s="69"/>
      <c r="U175" s="70"/>
      <c r="V175" s="70">
        <v>15925</v>
      </c>
      <c r="W175" s="69"/>
      <c r="X175" s="69"/>
      <c r="Y175" s="69"/>
      <c r="Z175" s="70">
        <f t="shared" si="49"/>
        <v>15925</v>
      </c>
      <c r="AA175" s="68">
        <v>2017</v>
      </c>
      <c r="AB175" s="46"/>
      <c r="AC175" s="46"/>
      <c r="AD175" s="46"/>
      <c r="AE175" s="1"/>
      <c r="AF175" s="1"/>
    </row>
    <row r="176" spans="1:32" s="22" customFormat="1" ht="30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7" t="s">
        <v>141</v>
      </c>
      <c r="S176" s="15" t="s">
        <v>10</v>
      </c>
      <c r="T176" s="21"/>
      <c r="U176" s="21"/>
      <c r="V176" s="21">
        <v>100</v>
      </c>
      <c r="W176" s="21"/>
      <c r="X176" s="21"/>
      <c r="Y176" s="21"/>
      <c r="Z176" s="6">
        <v>100</v>
      </c>
      <c r="AA176" s="15">
        <v>2017</v>
      </c>
      <c r="AB176" s="46"/>
      <c r="AC176" s="46"/>
      <c r="AD176" s="46"/>
      <c r="AE176" s="1"/>
      <c r="AF176" s="1"/>
    </row>
    <row r="177" spans="1:32" ht="42.75" x14ac:dyDescent="0.25">
      <c r="A177" s="59" t="s">
        <v>23</v>
      </c>
      <c r="B177" s="59" t="s">
        <v>23</v>
      </c>
      <c r="C177" s="59" t="s">
        <v>23</v>
      </c>
      <c r="D177" s="59" t="s">
        <v>23</v>
      </c>
      <c r="E177" s="59" t="s">
        <v>33</v>
      </c>
      <c r="F177" s="59" t="s">
        <v>23</v>
      </c>
      <c r="G177" s="59" t="s">
        <v>32</v>
      </c>
      <c r="H177" s="59" t="s">
        <v>23</v>
      </c>
      <c r="I177" s="59" t="s">
        <v>31</v>
      </c>
      <c r="J177" s="59" t="s">
        <v>24</v>
      </c>
      <c r="K177" s="59" t="s">
        <v>23</v>
      </c>
      <c r="L177" s="59" t="s">
        <v>33</v>
      </c>
      <c r="M177" s="59" t="s">
        <v>23</v>
      </c>
      <c r="N177" s="59" t="s">
        <v>23</v>
      </c>
      <c r="O177" s="59" t="s">
        <v>23</v>
      </c>
      <c r="P177" s="59" t="s">
        <v>23</v>
      </c>
      <c r="Q177" s="59" t="s">
        <v>23</v>
      </c>
      <c r="R177" s="60" t="s">
        <v>40</v>
      </c>
      <c r="S177" s="28" t="s">
        <v>59</v>
      </c>
      <c r="T177" s="16">
        <f>T179</f>
        <v>92414.1</v>
      </c>
      <c r="U177" s="16">
        <f>U179+U216+U220+U224</f>
        <v>25403.1</v>
      </c>
      <c r="V177" s="16">
        <f>V179+V228+V230+V235+V240+V245+V250+V255+V260+V266+V272+V278+V283+V288+V293</f>
        <v>169930.79999999996</v>
      </c>
      <c r="W177" s="16"/>
      <c r="X177" s="16"/>
      <c r="Y177" s="16"/>
      <c r="Z177" s="16">
        <f t="shared" si="36"/>
        <v>287748</v>
      </c>
      <c r="AA177" s="28">
        <v>2017</v>
      </c>
    </row>
    <row r="178" spans="1:32" ht="44.2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7" t="s">
        <v>131</v>
      </c>
      <c r="S178" s="15" t="s">
        <v>60</v>
      </c>
      <c r="T178" s="8">
        <f>T192+T199+T206+T213</f>
        <v>58.2</v>
      </c>
      <c r="U178" s="8">
        <f>U185+U219+(U223/1000)+(873.3/1000)</f>
        <v>27.765300000000003</v>
      </c>
      <c r="V178" s="8">
        <f>V185+V219+V223+V227+V229+V234+V239+V244+V249+V254+V259+V265+V271+V277+V287+V292+V297</f>
        <v>120.33999999999999</v>
      </c>
      <c r="W178" s="8"/>
      <c r="X178" s="8"/>
      <c r="Y178" s="8"/>
      <c r="Z178" s="5">
        <f t="shared" si="36"/>
        <v>206.30529999999999</v>
      </c>
      <c r="AA178" s="15">
        <v>2017</v>
      </c>
    </row>
    <row r="179" spans="1:32" ht="59.25" x14ac:dyDescent="0.25">
      <c r="A179" s="66"/>
      <c r="B179" s="66"/>
      <c r="C179" s="66"/>
      <c r="D179" s="66" t="s">
        <v>23</v>
      </c>
      <c r="E179" s="66" t="s">
        <v>33</v>
      </c>
      <c r="F179" s="66" t="s">
        <v>23</v>
      </c>
      <c r="G179" s="66" t="s">
        <v>32</v>
      </c>
      <c r="H179" s="66" t="s">
        <v>23</v>
      </c>
      <c r="I179" s="66" t="s">
        <v>31</v>
      </c>
      <c r="J179" s="66" t="s">
        <v>24</v>
      </c>
      <c r="K179" s="66" t="s">
        <v>23</v>
      </c>
      <c r="L179" s="66" t="s">
        <v>23</v>
      </c>
      <c r="M179" s="66" t="s">
        <v>23</v>
      </c>
      <c r="N179" s="66" t="s">
        <v>23</v>
      </c>
      <c r="O179" s="66" t="s">
        <v>23</v>
      </c>
      <c r="P179" s="66" t="s">
        <v>23</v>
      </c>
      <c r="Q179" s="66" t="s">
        <v>23</v>
      </c>
      <c r="R179" s="71" t="s">
        <v>189</v>
      </c>
      <c r="S179" s="68" t="s">
        <v>59</v>
      </c>
      <c r="T179" s="70">
        <f t="shared" ref="T179:U179" si="50">T180+T181</f>
        <v>92414.1</v>
      </c>
      <c r="U179" s="70">
        <f t="shared" si="50"/>
        <v>22928.899999999998</v>
      </c>
      <c r="V179" s="70">
        <f>V180+V181+V182+V183+V184</f>
        <v>159807.5</v>
      </c>
      <c r="W179" s="70"/>
      <c r="X179" s="70"/>
      <c r="Y179" s="70"/>
      <c r="Z179" s="70">
        <f t="shared" si="36"/>
        <v>275150.5</v>
      </c>
      <c r="AA179" s="68">
        <v>2017</v>
      </c>
    </row>
    <row r="180" spans="1:32" ht="60" x14ac:dyDescent="0.25">
      <c r="A180" s="66"/>
      <c r="B180" s="66"/>
      <c r="C180" s="66"/>
      <c r="D180" s="66" t="s">
        <v>23</v>
      </c>
      <c r="E180" s="66" t="s">
        <v>33</v>
      </c>
      <c r="F180" s="66" t="s">
        <v>23</v>
      </c>
      <c r="G180" s="66" t="s">
        <v>32</v>
      </c>
      <c r="H180" s="66" t="s">
        <v>23</v>
      </c>
      <c r="I180" s="66" t="s">
        <v>31</v>
      </c>
      <c r="J180" s="66" t="s">
        <v>24</v>
      </c>
      <c r="K180" s="66" t="s">
        <v>23</v>
      </c>
      <c r="L180" s="66" t="s">
        <v>33</v>
      </c>
      <c r="M180" s="66" t="s">
        <v>23</v>
      </c>
      <c r="N180" s="66" t="s">
        <v>23</v>
      </c>
      <c r="O180" s="66" t="s">
        <v>23</v>
      </c>
      <c r="P180" s="66" t="s">
        <v>23</v>
      </c>
      <c r="Q180" s="66" t="s">
        <v>23</v>
      </c>
      <c r="R180" s="67" t="s">
        <v>132</v>
      </c>
      <c r="S180" s="68" t="s">
        <v>59</v>
      </c>
      <c r="T180" s="70">
        <f t="shared" ref="T180:V180" si="51">T187+T194+T201+T208</f>
        <v>51768.5</v>
      </c>
      <c r="U180" s="70">
        <f t="shared" si="51"/>
        <v>22928.899999999998</v>
      </c>
      <c r="V180" s="70">
        <f t="shared" si="51"/>
        <v>6017.7999999999993</v>
      </c>
      <c r="W180" s="70"/>
      <c r="X180" s="70"/>
      <c r="Y180" s="70"/>
      <c r="Z180" s="70">
        <f>T180+U180+V180+W180+X180+Y180</f>
        <v>80715.199999999997</v>
      </c>
      <c r="AA180" s="68">
        <v>2017</v>
      </c>
    </row>
    <row r="181" spans="1:32" ht="60" x14ac:dyDescent="0.25">
      <c r="A181" s="66"/>
      <c r="B181" s="66"/>
      <c r="C181" s="66"/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23</v>
      </c>
      <c r="I181" s="66" t="s">
        <v>31</v>
      </c>
      <c r="J181" s="66" t="s">
        <v>24</v>
      </c>
      <c r="K181" s="66" t="s">
        <v>39</v>
      </c>
      <c r="L181" s="66" t="s">
        <v>35</v>
      </c>
      <c r="M181" s="66" t="s">
        <v>24</v>
      </c>
      <c r="N181" s="66" t="s">
        <v>24</v>
      </c>
      <c r="O181" s="66"/>
      <c r="P181" s="66"/>
      <c r="Q181" s="66"/>
      <c r="R181" s="67" t="s">
        <v>132</v>
      </c>
      <c r="S181" s="68" t="s">
        <v>59</v>
      </c>
      <c r="T181" s="70">
        <f>T188+T195+T202+T209</f>
        <v>40645.600000000006</v>
      </c>
      <c r="U181" s="70"/>
      <c r="V181" s="70"/>
      <c r="W181" s="70"/>
      <c r="X181" s="70"/>
      <c r="Y181" s="70"/>
      <c r="Z181" s="70">
        <f>Z188+Z195+Z202+Z209</f>
        <v>40645.600000000006</v>
      </c>
      <c r="AA181" s="68">
        <v>2017</v>
      </c>
    </row>
    <row r="182" spans="1:32" ht="60" x14ac:dyDescent="0.25">
      <c r="A182" s="66"/>
      <c r="B182" s="66"/>
      <c r="C182" s="66"/>
      <c r="D182" s="66" t="s">
        <v>23</v>
      </c>
      <c r="E182" s="66" t="s">
        <v>33</v>
      </c>
      <c r="F182" s="66" t="s">
        <v>23</v>
      </c>
      <c r="G182" s="66" t="s">
        <v>32</v>
      </c>
      <c r="H182" s="66" t="s">
        <v>23</v>
      </c>
      <c r="I182" s="66" t="s">
        <v>31</v>
      </c>
      <c r="J182" s="66" t="s">
        <v>24</v>
      </c>
      <c r="K182" s="66" t="s">
        <v>23</v>
      </c>
      <c r="L182" s="66" t="s">
        <v>33</v>
      </c>
      <c r="M182" s="66" t="s">
        <v>178</v>
      </c>
      <c r="N182" s="66" t="s">
        <v>23</v>
      </c>
      <c r="O182" s="66" t="s">
        <v>25</v>
      </c>
      <c r="P182" s="66" t="s">
        <v>24</v>
      </c>
      <c r="Q182" s="66" t="s">
        <v>205</v>
      </c>
      <c r="R182" s="67" t="s">
        <v>132</v>
      </c>
      <c r="S182" s="68" t="s">
        <v>59</v>
      </c>
      <c r="T182" s="70"/>
      <c r="U182" s="70"/>
      <c r="V182" s="70">
        <f>V189+V196+V203+V210</f>
        <v>31309</v>
      </c>
      <c r="W182" s="70"/>
      <c r="X182" s="70"/>
      <c r="Y182" s="70"/>
      <c r="Z182" s="70">
        <f>V182</f>
        <v>31309</v>
      </c>
      <c r="AA182" s="68">
        <v>2017</v>
      </c>
    </row>
    <row r="183" spans="1:32" ht="60" x14ac:dyDescent="0.25">
      <c r="A183" s="66"/>
      <c r="B183" s="66"/>
      <c r="C183" s="66"/>
      <c r="D183" s="66" t="s">
        <v>23</v>
      </c>
      <c r="E183" s="66" t="s">
        <v>33</v>
      </c>
      <c r="F183" s="66" t="s">
        <v>23</v>
      </c>
      <c r="G183" s="66" t="s">
        <v>32</v>
      </c>
      <c r="H183" s="66" t="s">
        <v>23</v>
      </c>
      <c r="I183" s="66" t="s">
        <v>31</v>
      </c>
      <c r="J183" s="66" t="s">
        <v>24</v>
      </c>
      <c r="K183" s="66" t="s">
        <v>23</v>
      </c>
      <c r="L183" s="66" t="s">
        <v>33</v>
      </c>
      <c r="M183" s="66" t="s">
        <v>24</v>
      </c>
      <c r="N183" s="66" t="s">
        <v>23</v>
      </c>
      <c r="O183" s="66" t="s">
        <v>25</v>
      </c>
      <c r="P183" s="66" t="s">
        <v>24</v>
      </c>
      <c r="Q183" s="66" t="s">
        <v>213</v>
      </c>
      <c r="R183" s="67" t="s">
        <v>132</v>
      </c>
      <c r="S183" s="68" t="s">
        <v>59</v>
      </c>
      <c r="T183" s="70"/>
      <c r="U183" s="70"/>
      <c r="V183" s="70">
        <f>V190+V197+V204+V211</f>
        <v>120680.70000000001</v>
      </c>
      <c r="W183" s="70"/>
      <c r="X183" s="70"/>
      <c r="Y183" s="70"/>
      <c r="Z183" s="70">
        <f>V183</f>
        <v>120680.70000000001</v>
      </c>
      <c r="AA183" s="68">
        <v>2017</v>
      </c>
    </row>
    <row r="184" spans="1:32" ht="60" x14ac:dyDescent="0.25">
      <c r="A184" s="66"/>
      <c r="B184" s="66"/>
      <c r="C184" s="66"/>
      <c r="D184" s="66" t="s">
        <v>23</v>
      </c>
      <c r="E184" s="66" t="s">
        <v>33</v>
      </c>
      <c r="F184" s="66" t="s">
        <v>23</v>
      </c>
      <c r="G184" s="66" t="s">
        <v>32</v>
      </c>
      <c r="H184" s="66" t="s">
        <v>23</v>
      </c>
      <c r="I184" s="66" t="s">
        <v>31</v>
      </c>
      <c r="J184" s="66" t="s">
        <v>24</v>
      </c>
      <c r="K184" s="66" t="s">
        <v>23</v>
      </c>
      <c r="L184" s="66" t="s">
        <v>33</v>
      </c>
      <c r="M184" s="66" t="s">
        <v>24</v>
      </c>
      <c r="N184" s="66" t="s">
        <v>23</v>
      </c>
      <c r="O184" s="66" t="s">
        <v>25</v>
      </c>
      <c r="P184" s="66" t="s">
        <v>24</v>
      </c>
      <c r="Q184" s="66" t="s">
        <v>213</v>
      </c>
      <c r="R184" s="67" t="s">
        <v>132</v>
      </c>
      <c r="S184" s="68" t="s">
        <v>59</v>
      </c>
      <c r="T184" s="70"/>
      <c r="U184" s="70"/>
      <c r="V184" s="70">
        <f>V191+V198+V205+V212</f>
        <v>1800</v>
      </c>
      <c r="W184" s="70"/>
      <c r="X184" s="70"/>
      <c r="Y184" s="70"/>
      <c r="Z184" s="70">
        <f>V184</f>
        <v>1800</v>
      </c>
      <c r="AA184" s="68">
        <v>2017</v>
      </c>
    </row>
    <row r="185" spans="1:32" ht="60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17" t="s">
        <v>133</v>
      </c>
      <c r="S185" s="15" t="s">
        <v>60</v>
      </c>
      <c r="T185" s="8">
        <f t="shared" ref="T185:V185" si="52">T192+T199+T206+T213</f>
        <v>58.2</v>
      </c>
      <c r="U185" s="8">
        <f t="shared" si="52"/>
        <v>25.200000000000003</v>
      </c>
      <c r="V185" s="8">
        <f t="shared" si="52"/>
        <v>112.19999999999999</v>
      </c>
      <c r="W185" s="8"/>
      <c r="X185" s="8"/>
      <c r="Y185" s="8"/>
      <c r="Z185" s="5">
        <f t="shared" si="36"/>
        <v>195.6</v>
      </c>
      <c r="AA185" s="15">
        <v>2017</v>
      </c>
    </row>
    <row r="186" spans="1:32" ht="60" x14ac:dyDescent="0.25">
      <c r="A186" s="66" t="s">
        <v>23</v>
      </c>
      <c r="B186" s="66" t="s">
        <v>23</v>
      </c>
      <c r="C186" s="66" t="s">
        <v>34</v>
      </c>
      <c r="D186" s="66" t="s">
        <v>23</v>
      </c>
      <c r="E186" s="66" t="s">
        <v>33</v>
      </c>
      <c r="F186" s="66" t="s">
        <v>23</v>
      </c>
      <c r="G186" s="66" t="s">
        <v>32</v>
      </c>
      <c r="H186" s="66" t="s">
        <v>23</v>
      </c>
      <c r="I186" s="66" t="s">
        <v>31</v>
      </c>
      <c r="J186" s="66" t="s">
        <v>24</v>
      </c>
      <c r="K186" s="66" t="s">
        <v>23</v>
      </c>
      <c r="L186" s="66" t="s">
        <v>23</v>
      </c>
      <c r="M186" s="66" t="s">
        <v>23</v>
      </c>
      <c r="N186" s="66" t="s">
        <v>23</v>
      </c>
      <c r="O186" s="66" t="s">
        <v>23</v>
      </c>
      <c r="P186" s="66" t="s">
        <v>23</v>
      </c>
      <c r="Q186" s="66" t="s">
        <v>23</v>
      </c>
      <c r="R186" s="67" t="s">
        <v>132</v>
      </c>
      <c r="S186" s="68" t="s">
        <v>59</v>
      </c>
      <c r="T186" s="70">
        <f t="shared" ref="T186:U186" si="53">T187+T188</f>
        <v>25150</v>
      </c>
      <c r="U186" s="70">
        <f t="shared" si="53"/>
        <v>6049.5999999999995</v>
      </c>
      <c r="V186" s="70">
        <f>V187+V189+V190+V191</f>
        <v>41805.200000000004</v>
      </c>
      <c r="W186" s="70"/>
      <c r="X186" s="70"/>
      <c r="Y186" s="70"/>
      <c r="Z186" s="70">
        <f t="shared" si="36"/>
        <v>73004.800000000003</v>
      </c>
      <c r="AA186" s="68">
        <v>2017</v>
      </c>
    </row>
    <row r="187" spans="1:32" ht="60" x14ac:dyDescent="0.25">
      <c r="A187" s="66" t="s">
        <v>23</v>
      </c>
      <c r="B187" s="66" t="s">
        <v>23</v>
      </c>
      <c r="C187" s="66" t="s">
        <v>34</v>
      </c>
      <c r="D187" s="66" t="s">
        <v>23</v>
      </c>
      <c r="E187" s="66" t="s">
        <v>33</v>
      </c>
      <c r="F187" s="66" t="s">
        <v>23</v>
      </c>
      <c r="G187" s="66" t="s">
        <v>32</v>
      </c>
      <c r="H187" s="66" t="s">
        <v>23</v>
      </c>
      <c r="I187" s="66" t="s">
        <v>31</v>
      </c>
      <c r="J187" s="66" t="s">
        <v>24</v>
      </c>
      <c r="K187" s="66" t="s">
        <v>23</v>
      </c>
      <c r="L187" s="66" t="s">
        <v>33</v>
      </c>
      <c r="M187" s="66" t="s">
        <v>23</v>
      </c>
      <c r="N187" s="66" t="s">
        <v>23</v>
      </c>
      <c r="O187" s="66" t="s">
        <v>23</v>
      </c>
      <c r="P187" s="66" t="s">
        <v>23</v>
      </c>
      <c r="Q187" s="66" t="s">
        <v>23</v>
      </c>
      <c r="R187" s="67" t="s">
        <v>132</v>
      </c>
      <c r="S187" s="68" t="s">
        <v>59</v>
      </c>
      <c r="T187" s="69">
        <v>13054.7</v>
      </c>
      <c r="U187" s="69">
        <f>8000-1708+246.5-273.3-215.6</f>
        <v>6049.5999999999995</v>
      </c>
      <c r="V187" s="69">
        <v>1581.4</v>
      </c>
      <c r="W187" s="69"/>
      <c r="X187" s="69"/>
      <c r="Y187" s="69"/>
      <c r="Z187" s="70">
        <f t="shared" si="36"/>
        <v>20685.7</v>
      </c>
      <c r="AA187" s="68">
        <v>2017</v>
      </c>
      <c r="AB187" s="45"/>
    </row>
    <row r="188" spans="1:32" ht="60" x14ac:dyDescent="0.25">
      <c r="A188" s="66" t="s">
        <v>23</v>
      </c>
      <c r="B188" s="66" t="s">
        <v>23</v>
      </c>
      <c r="C188" s="66" t="s">
        <v>34</v>
      </c>
      <c r="D188" s="66" t="s">
        <v>23</v>
      </c>
      <c r="E188" s="66" t="s">
        <v>33</v>
      </c>
      <c r="F188" s="66" t="s">
        <v>23</v>
      </c>
      <c r="G188" s="66" t="s">
        <v>32</v>
      </c>
      <c r="H188" s="66" t="s">
        <v>23</v>
      </c>
      <c r="I188" s="66" t="s">
        <v>31</v>
      </c>
      <c r="J188" s="66" t="s">
        <v>24</v>
      </c>
      <c r="K188" s="66" t="s">
        <v>39</v>
      </c>
      <c r="L188" s="66" t="s">
        <v>35</v>
      </c>
      <c r="M188" s="66" t="s">
        <v>24</v>
      </c>
      <c r="N188" s="66" t="s">
        <v>24</v>
      </c>
      <c r="O188" s="66"/>
      <c r="P188" s="66"/>
      <c r="Q188" s="66"/>
      <c r="R188" s="67" t="s">
        <v>132</v>
      </c>
      <c r="S188" s="68" t="s">
        <v>59</v>
      </c>
      <c r="T188" s="69">
        <v>12095.3</v>
      </c>
      <c r="U188" s="69"/>
      <c r="V188" s="69"/>
      <c r="W188" s="69"/>
      <c r="X188" s="69"/>
      <c r="Y188" s="69"/>
      <c r="Z188" s="70">
        <f t="shared" si="36"/>
        <v>12095.3</v>
      </c>
      <c r="AA188" s="68">
        <v>2017</v>
      </c>
      <c r="AB188" s="45"/>
    </row>
    <row r="189" spans="1:32" s="73" customFormat="1" ht="60" hidden="1" x14ac:dyDescent="0.25">
      <c r="A189" s="66" t="s">
        <v>23</v>
      </c>
      <c r="B189" s="66" t="s">
        <v>23</v>
      </c>
      <c r="C189" s="66" t="s">
        <v>34</v>
      </c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33</v>
      </c>
      <c r="M189" s="66" t="s">
        <v>178</v>
      </c>
      <c r="N189" s="66" t="s">
        <v>23</v>
      </c>
      <c r="O189" s="66" t="s">
        <v>25</v>
      </c>
      <c r="P189" s="66" t="s">
        <v>24</v>
      </c>
      <c r="Q189" s="66" t="s">
        <v>205</v>
      </c>
      <c r="R189" s="67" t="s">
        <v>132</v>
      </c>
      <c r="S189" s="68" t="s">
        <v>59</v>
      </c>
      <c r="T189" s="69"/>
      <c r="U189" s="69"/>
      <c r="V189" s="69">
        <f>15391-15391</f>
        <v>0</v>
      </c>
      <c r="W189" s="69"/>
      <c r="X189" s="69"/>
      <c r="Y189" s="69"/>
      <c r="Z189" s="70">
        <f>V189</f>
        <v>0</v>
      </c>
      <c r="AA189" s="68">
        <v>2017</v>
      </c>
      <c r="AB189" s="86"/>
      <c r="AC189" s="86"/>
      <c r="AD189" s="86"/>
      <c r="AE189" s="87"/>
      <c r="AF189" s="87"/>
    </row>
    <row r="190" spans="1:32" s="73" customFormat="1" ht="60" x14ac:dyDescent="0.25">
      <c r="A190" s="66" t="s">
        <v>23</v>
      </c>
      <c r="B190" s="66" t="s">
        <v>23</v>
      </c>
      <c r="C190" s="66" t="s">
        <v>34</v>
      </c>
      <c r="D190" s="66" t="s">
        <v>23</v>
      </c>
      <c r="E190" s="66" t="s">
        <v>33</v>
      </c>
      <c r="F190" s="66" t="s">
        <v>23</v>
      </c>
      <c r="G190" s="66" t="s">
        <v>32</v>
      </c>
      <c r="H190" s="66" t="s">
        <v>23</v>
      </c>
      <c r="I190" s="66" t="s">
        <v>31</v>
      </c>
      <c r="J190" s="66" t="s">
        <v>24</v>
      </c>
      <c r="K190" s="66" t="s">
        <v>23</v>
      </c>
      <c r="L190" s="66" t="s">
        <v>33</v>
      </c>
      <c r="M190" s="66" t="s">
        <v>24</v>
      </c>
      <c r="N190" s="66" t="s">
        <v>23</v>
      </c>
      <c r="O190" s="66" t="s">
        <v>25</v>
      </c>
      <c r="P190" s="66" t="s">
        <v>24</v>
      </c>
      <c r="Q190" s="66" t="s">
        <v>208</v>
      </c>
      <c r="R190" s="67" t="s">
        <v>132</v>
      </c>
      <c r="S190" s="68" t="s">
        <v>59</v>
      </c>
      <c r="T190" s="69"/>
      <c r="U190" s="69"/>
      <c r="V190" s="69">
        <v>39773.800000000003</v>
      </c>
      <c r="W190" s="69"/>
      <c r="X190" s="69"/>
      <c r="Y190" s="69"/>
      <c r="Z190" s="70">
        <f>V190</f>
        <v>39773.800000000003</v>
      </c>
      <c r="AA190" s="68">
        <v>2017</v>
      </c>
      <c r="AB190" s="86"/>
      <c r="AC190" s="86"/>
      <c r="AD190" s="86"/>
      <c r="AE190" s="87"/>
      <c r="AF190" s="87"/>
    </row>
    <row r="191" spans="1:32" s="73" customFormat="1" ht="60" x14ac:dyDescent="0.25">
      <c r="A191" s="66" t="s">
        <v>23</v>
      </c>
      <c r="B191" s="66" t="s">
        <v>23</v>
      </c>
      <c r="C191" s="66" t="s">
        <v>34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33</v>
      </c>
      <c r="M191" s="66" t="s">
        <v>24</v>
      </c>
      <c r="N191" s="66" t="s">
        <v>23</v>
      </c>
      <c r="O191" s="66" t="s">
        <v>39</v>
      </c>
      <c r="P191" s="66" t="s">
        <v>24</v>
      </c>
      <c r="Q191" s="66" t="s">
        <v>208</v>
      </c>
      <c r="R191" s="67" t="s">
        <v>132</v>
      </c>
      <c r="S191" s="68" t="s">
        <v>59</v>
      </c>
      <c r="T191" s="69"/>
      <c r="U191" s="69"/>
      <c r="V191" s="69">
        <v>450</v>
      </c>
      <c r="W191" s="69"/>
      <c r="X191" s="69"/>
      <c r="Y191" s="69"/>
      <c r="Z191" s="70">
        <f>V191</f>
        <v>450</v>
      </c>
      <c r="AA191" s="68">
        <v>2017</v>
      </c>
      <c r="AB191" s="86"/>
      <c r="AC191" s="86"/>
      <c r="AD191" s="86"/>
      <c r="AE191" s="87"/>
      <c r="AF191" s="87"/>
    </row>
    <row r="192" spans="1:32" ht="60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17" t="s">
        <v>134</v>
      </c>
      <c r="S192" s="15" t="s">
        <v>60</v>
      </c>
      <c r="T192" s="8">
        <v>15.5</v>
      </c>
      <c r="U192" s="8">
        <v>6.5</v>
      </c>
      <c r="V192" s="8">
        <v>39.700000000000003</v>
      </c>
      <c r="W192" s="8"/>
      <c r="X192" s="8"/>
      <c r="Y192" s="8"/>
      <c r="Z192" s="5">
        <f t="shared" si="36"/>
        <v>61.7</v>
      </c>
      <c r="AA192" s="15">
        <v>2017</v>
      </c>
    </row>
    <row r="193" spans="1:32" ht="60" x14ac:dyDescent="0.25">
      <c r="A193" s="66" t="s">
        <v>23</v>
      </c>
      <c r="B193" s="66" t="s">
        <v>23</v>
      </c>
      <c r="C193" s="66" t="s">
        <v>33</v>
      </c>
      <c r="D193" s="66" t="s">
        <v>23</v>
      </c>
      <c r="E193" s="66" t="s">
        <v>33</v>
      </c>
      <c r="F193" s="66" t="s">
        <v>23</v>
      </c>
      <c r="G193" s="66" t="s">
        <v>32</v>
      </c>
      <c r="H193" s="66" t="s">
        <v>23</v>
      </c>
      <c r="I193" s="66" t="s">
        <v>31</v>
      </c>
      <c r="J193" s="66" t="s">
        <v>24</v>
      </c>
      <c r="K193" s="66" t="s">
        <v>23</v>
      </c>
      <c r="L193" s="66" t="s">
        <v>23</v>
      </c>
      <c r="M193" s="66" t="s">
        <v>23</v>
      </c>
      <c r="N193" s="66" t="s">
        <v>23</v>
      </c>
      <c r="O193" s="66" t="s">
        <v>23</v>
      </c>
      <c r="P193" s="66" t="s">
        <v>23</v>
      </c>
      <c r="Q193" s="66" t="s">
        <v>23</v>
      </c>
      <c r="R193" s="67" t="s">
        <v>132</v>
      </c>
      <c r="S193" s="68" t="s">
        <v>59</v>
      </c>
      <c r="T193" s="70">
        <f>T194+T195</f>
        <v>24446.9</v>
      </c>
      <c r="U193" s="70">
        <f t="shared" ref="U193" si="54">U194+U195</f>
        <v>6266.4000000000005</v>
      </c>
      <c r="V193" s="70">
        <f>V194+V196+V197+V198</f>
        <v>32855.5</v>
      </c>
      <c r="W193" s="70"/>
      <c r="X193" s="70"/>
      <c r="Y193" s="70"/>
      <c r="Z193" s="70">
        <f>Z194+Z195+Z196+Z197+Z198</f>
        <v>63568.800000000003</v>
      </c>
      <c r="AA193" s="68">
        <v>2017</v>
      </c>
    </row>
    <row r="194" spans="1:32" ht="60" x14ac:dyDescent="0.25">
      <c r="A194" s="66" t="s">
        <v>23</v>
      </c>
      <c r="B194" s="66" t="s">
        <v>23</v>
      </c>
      <c r="C194" s="66" t="s">
        <v>33</v>
      </c>
      <c r="D194" s="66" t="s">
        <v>23</v>
      </c>
      <c r="E194" s="66" t="s">
        <v>33</v>
      </c>
      <c r="F194" s="66" t="s">
        <v>23</v>
      </c>
      <c r="G194" s="66" t="s">
        <v>32</v>
      </c>
      <c r="H194" s="66" t="s">
        <v>23</v>
      </c>
      <c r="I194" s="66" t="s">
        <v>31</v>
      </c>
      <c r="J194" s="66" t="s">
        <v>24</v>
      </c>
      <c r="K194" s="66" t="s">
        <v>23</v>
      </c>
      <c r="L194" s="66" t="s">
        <v>33</v>
      </c>
      <c r="M194" s="66" t="s">
        <v>23</v>
      </c>
      <c r="N194" s="66" t="s">
        <v>23</v>
      </c>
      <c r="O194" s="66" t="s">
        <v>23</v>
      </c>
      <c r="P194" s="66" t="s">
        <v>23</v>
      </c>
      <c r="Q194" s="66" t="s">
        <v>23</v>
      </c>
      <c r="R194" s="67" t="s">
        <v>132</v>
      </c>
      <c r="S194" s="68" t="s">
        <v>59</v>
      </c>
      <c r="T194" s="69">
        <f>4500+8038.2</f>
        <v>12538.2</v>
      </c>
      <c r="U194" s="69">
        <f>8000-951+100-8.4-874.2</f>
        <v>6266.4000000000005</v>
      </c>
      <c r="V194" s="69">
        <f>1443.3+343</f>
        <v>1786.3</v>
      </c>
      <c r="W194" s="69"/>
      <c r="X194" s="69"/>
      <c r="Y194" s="69"/>
      <c r="Z194" s="70">
        <f t="shared" si="36"/>
        <v>20590.900000000001</v>
      </c>
      <c r="AA194" s="68">
        <v>2017</v>
      </c>
    </row>
    <row r="195" spans="1:32" ht="60" x14ac:dyDescent="0.25">
      <c r="A195" s="66" t="s">
        <v>23</v>
      </c>
      <c r="B195" s="66" t="s">
        <v>23</v>
      </c>
      <c r="C195" s="66" t="s">
        <v>33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39</v>
      </c>
      <c r="L195" s="66" t="s">
        <v>35</v>
      </c>
      <c r="M195" s="66" t="s">
        <v>24</v>
      </c>
      <c r="N195" s="66" t="s">
        <v>24</v>
      </c>
      <c r="O195" s="66"/>
      <c r="P195" s="66"/>
      <c r="Q195" s="66"/>
      <c r="R195" s="67" t="s">
        <v>132</v>
      </c>
      <c r="S195" s="68" t="s">
        <v>59</v>
      </c>
      <c r="T195" s="69">
        <v>11908.7</v>
      </c>
      <c r="U195" s="69"/>
      <c r="V195" s="69"/>
      <c r="W195" s="69"/>
      <c r="X195" s="69"/>
      <c r="Y195" s="69"/>
      <c r="Z195" s="70">
        <f t="shared" si="36"/>
        <v>11908.7</v>
      </c>
      <c r="AA195" s="68">
        <v>2017</v>
      </c>
    </row>
    <row r="196" spans="1:32" s="73" customFormat="1" ht="60" x14ac:dyDescent="0.25">
      <c r="A196" s="66" t="s">
        <v>23</v>
      </c>
      <c r="B196" s="66" t="s">
        <v>23</v>
      </c>
      <c r="C196" s="66" t="s">
        <v>33</v>
      </c>
      <c r="D196" s="66" t="s">
        <v>23</v>
      </c>
      <c r="E196" s="66" t="s">
        <v>33</v>
      </c>
      <c r="F196" s="66" t="s">
        <v>23</v>
      </c>
      <c r="G196" s="66" t="s">
        <v>32</v>
      </c>
      <c r="H196" s="66" t="s">
        <v>23</v>
      </c>
      <c r="I196" s="66" t="s">
        <v>31</v>
      </c>
      <c r="J196" s="66" t="s">
        <v>24</v>
      </c>
      <c r="K196" s="66" t="s">
        <v>23</v>
      </c>
      <c r="L196" s="66" t="s">
        <v>33</v>
      </c>
      <c r="M196" s="66" t="s">
        <v>178</v>
      </c>
      <c r="N196" s="66" t="s">
        <v>23</v>
      </c>
      <c r="O196" s="66" t="s">
        <v>25</v>
      </c>
      <c r="P196" s="66" t="s">
        <v>24</v>
      </c>
      <c r="Q196" s="66" t="s">
        <v>205</v>
      </c>
      <c r="R196" s="67" t="s">
        <v>132</v>
      </c>
      <c r="S196" s="68" t="s">
        <v>59</v>
      </c>
      <c r="T196" s="69"/>
      <c r="U196" s="69"/>
      <c r="V196" s="69">
        <v>8543</v>
      </c>
      <c r="W196" s="69"/>
      <c r="X196" s="69"/>
      <c r="Y196" s="69"/>
      <c r="Z196" s="70">
        <f>V196</f>
        <v>8543</v>
      </c>
      <c r="AA196" s="68">
        <v>2017</v>
      </c>
      <c r="AB196" s="86"/>
      <c r="AC196" s="86"/>
      <c r="AD196" s="86"/>
      <c r="AE196" s="87"/>
      <c r="AF196" s="87"/>
    </row>
    <row r="197" spans="1:32" s="73" customFormat="1" ht="60" x14ac:dyDescent="0.25">
      <c r="A197" s="66" t="s">
        <v>23</v>
      </c>
      <c r="B197" s="66" t="s">
        <v>23</v>
      </c>
      <c r="C197" s="66" t="s">
        <v>33</v>
      </c>
      <c r="D197" s="66" t="s">
        <v>23</v>
      </c>
      <c r="E197" s="66" t="s">
        <v>33</v>
      </c>
      <c r="F197" s="66" t="s">
        <v>23</v>
      </c>
      <c r="G197" s="66" t="s">
        <v>32</v>
      </c>
      <c r="H197" s="66" t="s">
        <v>23</v>
      </c>
      <c r="I197" s="66" t="s">
        <v>31</v>
      </c>
      <c r="J197" s="66" t="s">
        <v>24</v>
      </c>
      <c r="K197" s="66" t="s">
        <v>23</v>
      </c>
      <c r="L197" s="66" t="s">
        <v>33</v>
      </c>
      <c r="M197" s="66" t="s">
        <v>24</v>
      </c>
      <c r="N197" s="66" t="s">
        <v>23</v>
      </c>
      <c r="O197" s="66" t="s">
        <v>25</v>
      </c>
      <c r="P197" s="66" t="s">
        <v>24</v>
      </c>
      <c r="Q197" s="66" t="s">
        <v>208</v>
      </c>
      <c r="R197" s="67" t="s">
        <v>132</v>
      </c>
      <c r="S197" s="68" t="s">
        <v>59</v>
      </c>
      <c r="T197" s="69"/>
      <c r="U197" s="69"/>
      <c r="V197" s="69">
        <v>22076.2</v>
      </c>
      <c r="W197" s="69"/>
      <c r="X197" s="69"/>
      <c r="Y197" s="69"/>
      <c r="Z197" s="70">
        <f>V197</f>
        <v>22076.2</v>
      </c>
      <c r="AA197" s="68">
        <v>2017</v>
      </c>
      <c r="AB197" s="86"/>
      <c r="AC197" s="86"/>
      <c r="AD197" s="86"/>
      <c r="AE197" s="87"/>
      <c r="AF197" s="87"/>
    </row>
    <row r="198" spans="1:32" s="73" customFormat="1" ht="60" x14ac:dyDescent="0.25">
      <c r="A198" s="66" t="s">
        <v>23</v>
      </c>
      <c r="B198" s="66" t="s">
        <v>23</v>
      </c>
      <c r="C198" s="66" t="s">
        <v>33</v>
      </c>
      <c r="D198" s="66" t="s">
        <v>23</v>
      </c>
      <c r="E198" s="66" t="s">
        <v>33</v>
      </c>
      <c r="F198" s="66" t="s">
        <v>23</v>
      </c>
      <c r="G198" s="66" t="s">
        <v>32</v>
      </c>
      <c r="H198" s="66" t="s">
        <v>23</v>
      </c>
      <c r="I198" s="66" t="s">
        <v>31</v>
      </c>
      <c r="J198" s="66" t="s">
        <v>24</v>
      </c>
      <c r="K198" s="66" t="s">
        <v>23</v>
      </c>
      <c r="L198" s="66" t="s">
        <v>33</v>
      </c>
      <c r="M198" s="66" t="s">
        <v>24</v>
      </c>
      <c r="N198" s="66" t="s">
        <v>23</v>
      </c>
      <c r="O198" s="66" t="s">
        <v>39</v>
      </c>
      <c r="P198" s="66" t="s">
        <v>24</v>
      </c>
      <c r="Q198" s="66" t="s">
        <v>208</v>
      </c>
      <c r="R198" s="67" t="s">
        <v>132</v>
      </c>
      <c r="S198" s="68" t="s">
        <v>59</v>
      </c>
      <c r="T198" s="69"/>
      <c r="U198" s="69"/>
      <c r="V198" s="69">
        <v>450</v>
      </c>
      <c r="W198" s="69"/>
      <c r="X198" s="69"/>
      <c r="Y198" s="69"/>
      <c r="Z198" s="70">
        <f>V198</f>
        <v>450</v>
      </c>
      <c r="AA198" s="68">
        <v>2017</v>
      </c>
      <c r="AB198" s="86"/>
      <c r="AC198" s="86"/>
      <c r="AD198" s="86"/>
      <c r="AE198" s="87"/>
      <c r="AF198" s="87"/>
    </row>
    <row r="199" spans="1:32" ht="60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17" t="s">
        <v>135</v>
      </c>
      <c r="S199" s="15" t="s">
        <v>60</v>
      </c>
      <c r="T199" s="8">
        <f>15.5+2.1</f>
        <v>17.600000000000001</v>
      </c>
      <c r="U199" s="8">
        <v>5.7</v>
      </c>
      <c r="V199" s="8">
        <v>18.100000000000001</v>
      </c>
      <c r="W199" s="8"/>
      <c r="X199" s="8"/>
      <c r="Y199" s="8"/>
      <c r="Z199" s="5">
        <f t="shared" si="36"/>
        <v>41.400000000000006</v>
      </c>
      <c r="AA199" s="15">
        <v>2017</v>
      </c>
    </row>
    <row r="200" spans="1:32" ht="60" x14ac:dyDescent="0.25">
      <c r="A200" s="66" t="s">
        <v>23</v>
      </c>
      <c r="B200" s="66" t="s">
        <v>23</v>
      </c>
      <c r="C200" s="66" t="s">
        <v>30</v>
      </c>
      <c r="D200" s="66" t="s">
        <v>23</v>
      </c>
      <c r="E200" s="66" t="s">
        <v>33</v>
      </c>
      <c r="F200" s="66" t="s">
        <v>23</v>
      </c>
      <c r="G200" s="66" t="s">
        <v>32</v>
      </c>
      <c r="H200" s="66" t="s">
        <v>23</v>
      </c>
      <c r="I200" s="66" t="s">
        <v>31</v>
      </c>
      <c r="J200" s="66" t="s">
        <v>24</v>
      </c>
      <c r="K200" s="66" t="s">
        <v>23</v>
      </c>
      <c r="L200" s="66" t="s">
        <v>23</v>
      </c>
      <c r="M200" s="66" t="s">
        <v>23</v>
      </c>
      <c r="N200" s="66" t="s">
        <v>23</v>
      </c>
      <c r="O200" s="66" t="s">
        <v>23</v>
      </c>
      <c r="P200" s="66" t="s">
        <v>23</v>
      </c>
      <c r="Q200" s="66" t="s">
        <v>23</v>
      </c>
      <c r="R200" s="67" t="s">
        <v>132</v>
      </c>
      <c r="S200" s="68" t="s">
        <v>59</v>
      </c>
      <c r="T200" s="70">
        <f>T201+T202</f>
        <v>19965</v>
      </c>
      <c r="U200" s="70">
        <f t="shared" ref="U200" si="55">U201+U202</f>
        <v>5412.6</v>
      </c>
      <c r="V200" s="70">
        <f>V201+V203+V204+V205</f>
        <v>52552.800000000003</v>
      </c>
      <c r="W200" s="70"/>
      <c r="X200" s="70"/>
      <c r="Y200" s="70"/>
      <c r="Z200" s="70">
        <f>Z201+Z202+Z203+Z204+Z205</f>
        <v>77930.399999999994</v>
      </c>
      <c r="AA200" s="68">
        <v>2017</v>
      </c>
    </row>
    <row r="201" spans="1:32" ht="60" x14ac:dyDescent="0.25">
      <c r="A201" s="66" t="s">
        <v>23</v>
      </c>
      <c r="B201" s="66" t="s">
        <v>23</v>
      </c>
      <c r="C201" s="66" t="s">
        <v>30</v>
      </c>
      <c r="D201" s="66" t="s">
        <v>23</v>
      </c>
      <c r="E201" s="66" t="s">
        <v>33</v>
      </c>
      <c r="F201" s="66" t="s">
        <v>23</v>
      </c>
      <c r="G201" s="66" t="s">
        <v>32</v>
      </c>
      <c r="H201" s="66" t="s">
        <v>23</v>
      </c>
      <c r="I201" s="66" t="s">
        <v>31</v>
      </c>
      <c r="J201" s="66" t="s">
        <v>24</v>
      </c>
      <c r="K201" s="66" t="s">
        <v>23</v>
      </c>
      <c r="L201" s="66" t="s">
        <v>33</v>
      </c>
      <c r="M201" s="66" t="s">
        <v>23</v>
      </c>
      <c r="N201" s="66" t="s">
        <v>23</v>
      </c>
      <c r="O201" s="66" t="s">
        <v>23</v>
      </c>
      <c r="P201" s="66" t="s">
        <v>23</v>
      </c>
      <c r="Q201" s="66" t="s">
        <v>23</v>
      </c>
      <c r="R201" s="67" t="s">
        <v>132</v>
      </c>
      <c r="S201" s="68" t="s">
        <v>59</v>
      </c>
      <c r="T201" s="69">
        <f>6240+5854.1</f>
        <v>12094.1</v>
      </c>
      <c r="U201" s="69">
        <f>8000-1758-29.4-800</f>
        <v>5412.6</v>
      </c>
      <c r="V201" s="69">
        <v>1200</v>
      </c>
      <c r="W201" s="69"/>
      <c r="X201" s="69"/>
      <c r="Y201" s="69"/>
      <c r="Z201" s="70">
        <f t="shared" si="36"/>
        <v>18706.7</v>
      </c>
      <c r="AA201" s="68">
        <v>2017</v>
      </c>
    </row>
    <row r="202" spans="1:32" ht="60" x14ac:dyDescent="0.25">
      <c r="A202" s="66" t="s">
        <v>23</v>
      </c>
      <c r="B202" s="66" t="s">
        <v>23</v>
      </c>
      <c r="C202" s="66" t="s">
        <v>30</v>
      </c>
      <c r="D202" s="66" t="s">
        <v>23</v>
      </c>
      <c r="E202" s="66" t="s">
        <v>33</v>
      </c>
      <c r="F202" s="66" t="s">
        <v>23</v>
      </c>
      <c r="G202" s="66" t="s">
        <v>32</v>
      </c>
      <c r="H202" s="66" t="s">
        <v>23</v>
      </c>
      <c r="I202" s="66" t="s">
        <v>31</v>
      </c>
      <c r="J202" s="66" t="s">
        <v>24</v>
      </c>
      <c r="K202" s="66" t="s">
        <v>39</v>
      </c>
      <c r="L202" s="66" t="s">
        <v>35</v>
      </c>
      <c r="M202" s="66" t="s">
        <v>24</v>
      </c>
      <c r="N202" s="66" t="s">
        <v>24</v>
      </c>
      <c r="O202" s="66"/>
      <c r="P202" s="66"/>
      <c r="Q202" s="66"/>
      <c r="R202" s="67" t="s">
        <v>132</v>
      </c>
      <c r="S202" s="68" t="s">
        <v>59</v>
      </c>
      <c r="T202" s="69">
        <v>7870.9</v>
      </c>
      <c r="U202" s="69"/>
      <c r="V202" s="69"/>
      <c r="W202" s="69"/>
      <c r="X202" s="69"/>
      <c r="Y202" s="69"/>
      <c r="Z202" s="70">
        <f t="shared" si="36"/>
        <v>7870.9</v>
      </c>
      <c r="AA202" s="68">
        <v>2017</v>
      </c>
    </row>
    <row r="203" spans="1:32" s="73" customFormat="1" ht="60" x14ac:dyDescent="0.25">
      <c r="A203" s="66" t="s">
        <v>23</v>
      </c>
      <c r="B203" s="66" t="s">
        <v>23</v>
      </c>
      <c r="C203" s="66" t="s">
        <v>30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33</v>
      </c>
      <c r="M203" s="66" t="s">
        <v>178</v>
      </c>
      <c r="N203" s="66" t="s">
        <v>23</v>
      </c>
      <c r="O203" s="66" t="s">
        <v>25</v>
      </c>
      <c r="P203" s="66" t="s">
        <v>24</v>
      </c>
      <c r="Q203" s="66" t="s">
        <v>205</v>
      </c>
      <c r="R203" s="67" t="s">
        <v>132</v>
      </c>
      <c r="S203" s="68" t="s">
        <v>59</v>
      </c>
      <c r="T203" s="69"/>
      <c r="U203" s="69"/>
      <c r="V203" s="69">
        <v>14202</v>
      </c>
      <c r="W203" s="69"/>
      <c r="X203" s="69"/>
      <c r="Y203" s="69"/>
      <c r="Z203" s="70">
        <f>V203</f>
        <v>14202</v>
      </c>
      <c r="AA203" s="68">
        <v>2017</v>
      </c>
      <c r="AB203" s="86"/>
      <c r="AC203" s="86"/>
      <c r="AD203" s="86"/>
      <c r="AE203" s="87"/>
      <c r="AF203" s="87"/>
    </row>
    <row r="204" spans="1:32" s="73" customFormat="1" ht="60" x14ac:dyDescent="0.25">
      <c r="A204" s="66" t="s">
        <v>23</v>
      </c>
      <c r="B204" s="66" t="s">
        <v>23</v>
      </c>
      <c r="C204" s="66" t="s">
        <v>30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23</v>
      </c>
      <c r="L204" s="66" t="s">
        <v>33</v>
      </c>
      <c r="M204" s="66" t="s">
        <v>24</v>
      </c>
      <c r="N204" s="66" t="s">
        <v>23</v>
      </c>
      <c r="O204" s="66" t="s">
        <v>25</v>
      </c>
      <c r="P204" s="66" t="s">
        <v>24</v>
      </c>
      <c r="Q204" s="66" t="s">
        <v>208</v>
      </c>
      <c r="R204" s="67" t="s">
        <v>132</v>
      </c>
      <c r="S204" s="68" t="s">
        <v>59</v>
      </c>
      <c r="T204" s="69"/>
      <c r="U204" s="69"/>
      <c r="V204" s="69">
        <v>36700.800000000003</v>
      </c>
      <c r="W204" s="69"/>
      <c r="X204" s="69"/>
      <c r="Y204" s="69"/>
      <c r="Z204" s="70">
        <f>V204</f>
        <v>36700.800000000003</v>
      </c>
      <c r="AA204" s="68">
        <v>2017</v>
      </c>
      <c r="AB204" s="86"/>
      <c r="AC204" s="86"/>
      <c r="AD204" s="86"/>
      <c r="AE204" s="87"/>
      <c r="AF204" s="87"/>
    </row>
    <row r="205" spans="1:32" s="73" customFormat="1" ht="60" x14ac:dyDescent="0.25">
      <c r="A205" s="66" t="s">
        <v>23</v>
      </c>
      <c r="B205" s="66" t="s">
        <v>23</v>
      </c>
      <c r="C205" s="66" t="s">
        <v>30</v>
      </c>
      <c r="D205" s="66" t="s">
        <v>23</v>
      </c>
      <c r="E205" s="66" t="s">
        <v>33</v>
      </c>
      <c r="F205" s="66" t="s">
        <v>23</v>
      </c>
      <c r="G205" s="66" t="s">
        <v>32</v>
      </c>
      <c r="H205" s="66" t="s">
        <v>23</v>
      </c>
      <c r="I205" s="66" t="s">
        <v>31</v>
      </c>
      <c r="J205" s="66" t="s">
        <v>24</v>
      </c>
      <c r="K205" s="66" t="s">
        <v>23</v>
      </c>
      <c r="L205" s="66" t="s">
        <v>33</v>
      </c>
      <c r="M205" s="66" t="s">
        <v>24</v>
      </c>
      <c r="N205" s="66" t="s">
        <v>23</v>
      </c>
      <c r="O205" s="66" t="s">
        <v>39</v>
      </c>
      <c r="P205" s="66" t="s">
        <v>24</v>
      </c>
      <c r="Q205" s="66" t="s">
        <v>208</v>
      </c>
      <c r="R205" s="67" t="s">
        <v>132</v>
      </c>
      <c r="S205" s="68" t="s">
        <v>59</v>
      </c>
      <c r="T205" s="69"/>
      <c r="U205" s="69"/>
      <c r="V205" s="69">
        <v>450</v>
      </c>
      <c r="W205" s="69"/>
      <c r="X205" s="69"/>
      <c r="Y205" s="69"/>
      <c r="Z205" s="70">
        <f>V205</f>
        <v>450</v>
      </c>
      <c r="AA205" s="68">
        <v>2017</v>
      </c>
      <c r="AB205" s="86"/>
      <c r="AC205" s="86"/>
      <c r="AD205" s="86"/>
      <c r="AE205" s="87"/>
      <c r="AF205" s="87"/>
    </row>
    <row r="206" spans="1:32" ht="60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17" t="s">
        <v>136</v>
      </c>
      <c r="S206" s="15" t="s">
        <v>60</v>
      </c>
      <c r="T206" s="8">
        <f>3.9+3.4</f>
        <v>7.3</v>
      </c>
      <c r="U206" s="8">
        <v>7.4</v>
      </c>
      <c r="V206" s="8">
        <v>33.799999999999997</v>
      </c>
      <c r="W206" s="8"/>
      <c r="X206" s="8"/>
      <c r="Y206" s="8"/>
      <c r="Z206" s="5">
        <f t="shared" si="36"/>
        <v>48.5</v>
      </c>
      <c r="AA206" s="15">
        <v>2017</v>
      </c>
    </row>
    <row r="207" spans="1:32" ht="60" x14ac:dyDescent="0.25">
      <c r="A207" s="66" t="s">
        <v>23</v>
      </c>
      <c r="B207" s="66" t="s">
        <v>23</v>
      </c>
      <c r="C207" s="66" t="s">
        <v>35</v>
      </c>
      <c r="D207" s="66" t="s">
        <v>23</v>
      </c>
      <c r="E207" s="66" t="s">
        <v>33</v>
      </c>
      <c r="F207" s="66" t="s">
        <v>23</v>
      </c>
      <c r="G207" s="66" t="s">
        <v>32</v>
      </c>
      <c r="H207" s="66" t="s">
        <v>23</v>
      </c>
      <c r="I207" s="66" t="s">
        <v>31</v>
      </c>
      <c r="J207" s="66" t="s">
        <v>24</v>
      </c>
      <c r="K207" s="66" t="s">
        <v>23</v>
      </c>
      <c r="L207" s="66" t="s">
        <v>23</v>
      </c>
      <c r="M207" s="66" t="s">
        <v>23</v>
      </c>
      <c r="N207" s="66" t="s">
        <v>23</v>
      </c>
      <c r="O207" s="66" t="s">
        <v>23</v>
      </c>
      <c r="P207" s="66" t="s">
        <v>23</v>
      </c>
      <c r="Q207" s="66" t="s">
        <v>23</v>
      </c>
      <c r="R207" s="67" t="s">
        <v>132</v>
      </c>
      <c r="S207" s="68" t="s">
        <v>59</v>
      </c>
      <c r="T207" s="70">
        <f>T208+T209</f>
        <v>22852.199999999997</v>
      </c>
      <c r="U207" s="70">
        <f t="shared" ref="U207" si="56">U208+U209</f>
        <v>5200.3</v>
      </c>
      <c r="V207" s="70">
        <f>V208+V209+V210+V211+V212</f>
        <v>32594</v>
      </c>
      <c r="W207" s="70"/>
      <c r="X207" s="70"/>
      <c r="Y207" s="70"/>
      <c r="Z207" s="70">
        <f>Z208+Z209+Z210+Z211+Z212</f>
        <v>60646.5</v>
      </c>
      <c r="AA207" s="68">
        <v>2017</v>
      </c>
    </row>
    <row r="208" spans="1:32" s="1" customFormat="1" ht="60" x14ac:dyDescent="0.25">
      <c r="A208" s="66" t="s">
        <v>23</v>
      </c>
      <c r="B208" s="66" t="s">
        <v>23</v>
      </c>
      <c r="C208" s="66" t="s">
        <v>35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23</v>
      </c>
      <c r="I208" s="66" t="s">
        <v>31</v>
      </c>
      <c r="J208" s="66" t="s">
        <v>24</v>
      </c>
      <c r="K208" s="66" t="s">
        <v>23</v>
      </c>
      <c r="L208" s="66" t="s">
        <v>33</v>
      </c>
      <c r="M208" s="66" t="s">
        <v>23</v>
      </c>
      <c r="N208" s="66" t="s">
        <v>23</v>
      </c>
      <c r="O208" s="66" t="s">
        <v>23</v>
      </c>
      <c r="P208" s="66" t="s">
        <v>23</v>
      </c>
      <c r="Q208" s="66" t="s">
        <v>23</v>
      </c>
      <c r="R208" s="67" t="s">
        <v>132</v>
      </c>
      <c r="S208" s="68" t="s">
        <v>59</v>
      </c>
      <c r="T208" s="69">
        <f>2580.4+9582.8+1918.3</f>
        <v>14081.499999999998</v>
      </c>
      <c r="U208" s="69">
        <f>8000-1614-28.9-1156.8</f>
        <v>5200.3</v>
      </c>
      <c r="V208" s="69">
        <v>1450.1</v>
      </c>
      <c r="W208" s="69"/>
      <c r="X208" s="69"/>
      <c r="Y208" s="69"/>
      <c r="Z208" s="70">
        <f t="shared" si="36"/>
        <v>20731.899999999998</v>
      </c>
      <c r="AA208" s="68">
        <v>2017</v>
      </c>
      <c r="AB208" s="45"/>
      <c r="AC208" s="46"/>
      <c r="AD208" s="46"/>
    </row>
    <row r="209" spans="1:32" s="1" customFormat="1" ht="60" x14ac:dyDescent="0.25">
      <c r="A209" s="66" t="s">
        <v>23</v>
      </c>
      <c r="B209" s="66" t="s">
        <v>23</v>
      </c>
      <c r="C209" s="66" t="s">
        <v>35</v>
      </c>
      <c r="D209" s="66" t="s">
        <v>23</v>
      </c>
      <c r="E209" s="66" t="s">
        <v>33</v>
      </c>
      <c r="F209" s="66" t="s">
        <v>23</v>
      </c>
      <c r="G209" s="66" t="s">
        <v>32</v>
      </c>
      <c r="H209" s="66" t="s">
        <v>23</v>
      </c>
      <c r="I209" s="66" t="s">
        <v>31</v>
      </c>
      <c r="J209" s="66" t="s">
        <v>24</v>
      </c>
      <c r="K209" s="66" t="s">
        <v>39</v>
      </c>
      <c r="L209" s="66" t="s">
        <v>35</v>
      </c>
      <c r="M209" s="66" t="s">
        <v>24</v>
      </c>
      <c r="N209" s="66" t="s">
        <v>24</v>
      </c>
      <c r="O209" s="66"/>
      <c r="P209" s="66"/>
      <c r="Q209" s="66"/>
      <c r="R209" s="67" t="s">
        <v>132</v>
      </c>
      <c r="S209" s="68" t="s">
        <v>59</v>
      </c>
      <c r="T209" s="69">
        <v>8770.7000000000007</v>
      </c>
      <c r="U209" s="69"/>
      <c r="V209" s="69"/>
      <c r="W209" s="69"/>
      <c r="X209" s="69"/>
      <c r="Y209" s="69"/>
      <c r="Z209" s="70">
        <f t="shared" si="36"/>
        <v>8770.7000000000007</v>
      </c>
      <c r="AA209" s="68">
        <v>2017</v>
      </c>
      <c r="AB209" s="45"/>
      <c r="AC209" s="46"/>
      <c r="AD209" s="46"/>
    </row>
    <row r="210" spans="1:32" s="1" customFormat="1" ht="60" x14ac:dyDescent="0.25">
      <c r="A210" s="66" t="s">
        <v>23</v>
      </c>
      <c r="B210" s="66" t="s">
        <v>23</v>
      </c>
      <c r="C210" s="66" t="s">
        <v>35</v>
      </c>
      <c r="D210" s="66" t="s">
        <v>23</v>
      </c>
      <c r="E210" s="66" t="s">
        <v>33</v>
      </c>
      <c r="F210" s="66" t="s">
        <v>23</v>
      </c>
      <c r="G210" s="66" t="s">
        <v>32</v>
      </c>
      <c r="H210" s="66" t="s">
        <v>23</v>
      </c>
      <c r="I210" s="66" t="s">
        <v>31</v>
      </c>
      <c r="J210" s="66" t="s">
        <v>24</v>
      </c>
      <c r="K210" s="66" t="s">
        <v>23</v>
      </c>
      <c r="L210" s="66" t="s">
        <v>33</v>
      </c>
      <c r="M210" s="66" t="s">
        <v>178</v>
      </c>
      <c r="N210" s="66" t="s">
        <v>23</v>
      </c>
      <c r="O210" s="66" t="s">
        <v>25</v>
      </c>
      <c r="P210" s="66" t="s">
        <v>24</v>
      </c>
      <c r="Q210" s="66" t="s">
        <v>205</v>
      </c>
      <c r="R210" s="67" t="s">
        <v>132</v>
      </c>
      <c r="S210" s="68" t="s">
        <v>59</v>
      </c>
      <c r="T210" s="69"/>
      <c r="U210" s="69"/>
      <c r="V210" s="69">
        <v>8564</v>
      </c>
      <c r="W210" s="69"/>
      <c r="X210" s="69"/>
      <c r="Y210" s="69"/>
      <c r="Z210" s="70">
        <f>V210</f>
        <v>8564</v>
      </c>
      <c r="AA210" s="68">
        <v>2017</v>
      </c>
      <c r="AB210" s="86"/>
      <c r="AC210" s="46"/>
      <c r="AD210" s="46"/>
    </row>
    <row r="211" spans="1:32" s="1" customFormat="1" ht="60" x14ac:dyDescent="0.25">
      <c r="A211" s="66" t="s">
        <v>23</v>
      </c>
      <c r="B211" s="66" t="s">
        <v>23</v>
      </c>
      <c r="C211" s="66" t="s">
        <v>35</v>
      </c>
      <c r="D211" s="66" t="s">
        <v>23</v>
      </c>
      <c r="E211" s="66" t="s">
        <v>33</v>
      </c>
      <c r="F211" s="66" t="s">
        <v>23</v>
      </c>
      <c r="G211" s="66" t="s">
        <v>32</v>
      </c>
      <c r="H211" s="66" t="s">
        <v>23</v>
      </c>
      <c r="I211" s="66" t="s">
        <v>31</v>
      </c>
      <c r="J211" s="66" t="s">
        <v>24</v>
      </c>
      <c r="K211" s="66" t="s">
        <v>23</v>
      </c>
      <c r="L211" s="66" t="s">
        <v>33</v>
      </c>
      <c r="M211" s="66" t="s">
        <v>24</v>
      </c>
      <c r="N211" s="66" t="s">
        <v>23</v>
      </c>
      <c r="O211" s="66" t="s">
        <v>25</v>
      </c>
      <c r="P211" s="66" t="s">
        <v>24</v>
      </c>
      <c r="Q211" s="66" t="s">
        <v>208</v>
      </c>
      <c r="R211" s="67" t="s">
        <v>132</v>
      </c>
      <c r="S211" s="68" t="s">
        <v>59</v>
      </c>
      <c r="T211" s="69"/>
      <c r="U211" s="69"/>
      <c r="V211" s="69">
        <v>22129.9</v>
      </c>
      <c r="W211" s="69"/>
      <c r="X211" s="69"/>
      <c r="Y211" s="69"/>
      <c r="Z211" s="70">
        <f>V211</f>
        <v>22129.9</v>
      </c>
      <c r="AA211" s="68">
        <v>2017</v>
      </c>
      <c r="AB211" s="86"/>
      <c r="AC211" s="46"/>
      <c r="AD211" s="46"/>
    </row>
    <row r="212" spans="1:32" s="1" customFormat="1" ht="60" x14ac:dyDescent="0.25">
      <c r="A212" s="66" t="s">
        <v>23</v>
      </c>
      <c r="B212" s="66" t="s">
        <v>23</v>
      </c>
      <c r="C212" s="66" t="s">
        <v>35</v>
      </c>
      <c r="D212" s="66" t="s">
        <v>23</v>
      </c>
      <c r="E212" s="66" t="s">
        <v>33</v>
      </c>
      <c r="F212" s="66" t="s">
        <v>23</v>
      </c>
      <c r="G212" s="66" t="s">
        <v>32</v>
      </c>
      <c r="H212" s="66" t="s">
        <v>23</v>
      </c>
      <c r="I212" s="66" t="s">
        <v>31</v>
      </c>
      <c r="J212" s="66" t="s">
        <v>24</v>
      </c>
      <c r="K212" s="66" t="s">
        <v>23</v>
      </c>
      <c r="L212" s="66" t="s">
        <v>33</v>
      </c>
      <c r="M212" s="66" t="s">
        <v>24</v>
      </c>
      <c r="N212" s="66" t="s">
        <v>23</v>
      </c>
      <c r="O212" s="66" t="s">
        <v>39</v>
      </c>
      <c r="P212" s="66" t="s">
        <v>24</v>
      </c>
      <c r="Q212" s="66" t="s">
        <v>208</v>
      </c>
      <c r="R212" s="67" t="s">
        <v>132</v>
      </c>
      <c r="S212" s="68" t="s">
        <v>59</v>
      </c>
      <c r="T212" s="69"/>
      <c r="U212" s="69"/>
      <c r="V212" s="69">
        <v>450</v>
      </c>
      <c r="W212" s="69"/>
      <c r="X212" s="69"/>
      <c r="Y212" s="69"/>
      <c r="Z212" s="70">
        <f>V212</f>
        <v>450</v>
      </c>
      <c r="AA212" s="68">
        <v>2017</v>
      </c>
      <c r="AB212" s="86"/>
      <c r="AC212" s="46"/>
      <c r="AD212" s="46"/>
    </row>
    <row r="213" spans="1:32" ht="60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17" t="s">
        <v>137</v>
      </c>
      <c r="S213" s="15" t="s">
        <v>60</v>
      </c>
      <c r="T213" s="8">
        <v>17.8</v>
      </c>
      <c r="U213" s="8">
        <v>5.6</v>
      </c>
      <c r="V213" s="8">
        <v>20.6</v>
      </c>
      <c r="W213" s="8"/>
      <c r="X213" s="8"/>
      <c r="Y213" s="8"/>
      <c r="Z213" s="5">
        <f t="shared" si="36"/>
        <v>44</v>
      </c>
      <c r="AA213" s="15">
        <v>2017</v>
      </c>
    </row>
    <row r="214" spans="1:32" ht="60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7" t="s">
        <v>48</v>
      </c>
      <c r="S214" s="68" t="s">
        <v>45</v>
      </c>
      <c r="T214" s="72">
        <v>1</v>
      </c>
      <c r="U214" s="72">
        <v>1</v>
      </c>
      <c r="V214" s="72">
        <v>1</v>
      </c>
      <c r="W214" s="72"/>
      <c r="X214" s="72"/>
      <c r="Y214" s="72"/>
      <c r="Z214" s="72">
        <v>1</v>
      </c>
      <c r="AA214" s="68">
        <v>2017</v>
      </c>
    </row>
    <row r="215" spans="1:32" s="61" customFormat="1" ht="30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17" t="s">
        <v>49</v>
      </c>
      <c r="S215" s="15" t="s">
        <v>55</v>
      </c>
      <c r="T215" s="21">
        <f>15+12+42+10</f>
        <v>79</v>
      </c>
      <c r="U215" s="21">
        <f>11+15+84+21</f>
        <v>131</v>
      </c>
      <c r="V215" s="21">
        <f>55+15+30+70</f>
        <v>170</v>
      </c>
      <c r="W215" s="21"/>
      <c r="X215" s="21"/>
      <c r="Y215" s="21"/>
      <c r="Z215" s="6">
        <f t="shared" si="36"/>
        <v>380</v>
      </c>
      <c r="AA215" s="15">
        <v>2017</v>
      </c>
      <c r="AB215" s="40"/>
      <c r="AC215" s="40"/>
      <c r="AD215" s="40"/>
      <c r="AE215" s="41"/>
      <c r="AF215" s="41"/>
    </row>
    <row r="216" spans="1:32" s="61" customFormat="1" ht="45" x14ac:dyDescent="0.25">
      <c r="A216" s="66" t="s">
        <v>23</v>
      </c>
      <c r="B216" s="66" t="s">
        <v>23</v>
      </c>
      <c r="C216" s="66" t="s">
        <v>30</v>
      </c>
      <c r="D216" s="66" t="s">
        <v>23</v>
      </c>
      <c r="E216" s="66" t="s">
        <v>33</v>
      </c>
      <c r="F216" s="66" t="s">
        <v>23</v>
      </c>
      <c r="G216" s="66" t="s">
        <v>32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23</v>
      </c>
      <c r="M216" s="66" t="s">
        <v>23</v>
      </c>
      <c r="N216" s="66" t="s">
        <v>23</v>
      </c>
      <c r="O216" s="66" t="s">
        <v>23</v>
      </c>
      <c r="P216" s="66" t="s">
        <v>23</v>
      </c>
      <c r="Q216" s="66" t="s">
        <v>23</v>
      </c>
      <c r="R216" s="67" t="s">
        <v>180</v>
      </c>
      <c r="S216" s="68" t="s">
        <v>59</v>
      </c>
      <c r="T216" s="72"/>
      <c r="U216" s="70">
        <f>U217+U218</f>
        <v>981</v>
      </c>
      <c r="V216" s="75"/>
      <c r="W216" s="75"/>
      <c r="X216" s="75"/>
      <c r="Y216" s="75"/>
      <c r="Z216" s="70">
        <f t="shared" ref="Z216:Z227" si="57">U216</f>
        <v>981</v>
      </c>
      <c r="AA216" s="68">
        <v>2016</v>
      </c>
      <c r="AB216" s="40"/>
      <c r="AC216" s="40"/>
      <c r="AD216" s="40"/>
      <c r="AE216" s="41"/>
      <c r="AF216" s="41"/>
    </row>
    <row r="217" spans="1:32" s="61" customFormat="1" ht="45" x14ac:dyDescent="0.25">
      <c r="A217" s="66" t="s">
        <v>23</v>
      </c>
      <c r="B217" s="66" t="s">
        <v>23</v>
      </c>
      <c r="C217" s="66" t="s">
        <v>30</v>
      </c>
      <c r="D217" s="66" t="s">
        <v>23</v>
      </c>
      <c r="E217" s="66" t="s">
        <v>33</v>
      </c>
      <c r="F217" s="66" t="s">
        <v>23</v>
      </c>
      <c r="G217" s="66" t="s">
        <v>32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33</v>
      </c>
      <c r="M217" s="66" t="s">
        <v>178</v>
      </c>
      <c r="N217" s="66" t="s">
        <v>23</v>
      </c>
      <c r="O217" s="66" t="s">
        <v>33</v>
      </c>
      <c r="P217" s="66" t="s">
        <v>34</v>
      </c>
      <c r="Q217" s="66" t="s">
        <v>179</v>
      </c>
      <c r="R217" s="67" t="s">
        <v>180</v>
      </c>
      <c r="S217" s="68" t="s">
        <v>59</v>
      </c>
      <c r="T217" s="72"/>
      <c r="U217" s="69">
        <f>321+232+52-24</f>
        <v>581</v>
      </c>
      <c r="V217" s="72"/>
      <c r="W217" s="72"/>
      <c r="X217" s="72"/>
      <c r="Y217" s="72"/>
      <c r="Z217" s="70">
        <f t="shared" si="57"/>
        <v>581</v>
      </c>
      <c r="AA217" s="68">
        <v>2016</v>
      </c>
      <c r="AB217" s="46"/>
      <c r="AC217" s="40"/>
      <c r="AD217" s="40"/>
      <c r="AE217" s="41"/>
      <c r="AF217" s="41"/>
    </row>
    <row r="218" spans="1:32" s="61" customFormat="1" ht="45" x14ac:dyDescent="0.25">
      <c r="A218" s="66" t="s">
        <v>23</v>
      </c>
      <c r="B218" s="66" t="s">
        <v>23</v>
      </c>
      <c r="C218" s="66" t="s">
        <v>30</v>
      </c>
      <c r="D218" s="66" t="s">
        <v>23</v>
      </c>
      <c r="E218" s="66" t="s">
        <v>33</v>
      </c>
      <c r="F218" s="66" t="s">
        <v>23</v>
      </c>
      <c r="G218" s="66" t="s">
        <v>32</v>
      </c>
      <c r="H218" s="66" t="s">
        <v>23</v>
      </c>
      <c r="I218" s="66" t="s">
        <v>31</v>
      </c>
      <c r="J218" s="66" t="s">
        <v>24</v>
      </c>
      <c r="K218" s="66" t="s">
        <v>23</v>
      </c>
      <c r="L218" s="66" t="s">
        <v>33</v>
      </c>
      <c r="M218" s="66" t="s">
        <v>24</v>
      </c>
      <c r="N218" s="66" t="s">
        <v>23</v>
      </c>
      <c r="O218" s="66" t="s">
        <v>33</v>
      </c>
      <c r="P218" s="66" t="s">
        <v>34</v>
      </c>
      <c r="Q218" s="66" t="s">
        <v>179</v>
      </c>
      <c r="R218" s="67" t="s">
        <v>180</v>
      </c>
      <c r="S218" s="68" t="s">
        <v>59</v>
      </c>
      <c r="T218" s="72"/>
      <c r="U218" s="69">
        <v>400</v>
      </c>
      <c r="V218" s="72"/>
      <c r="W218" s="72"/>
      <c r="X218" s="72"/>
      <c r="Y218" s="72"/>
      <c r="Z218" s="70">
        <f t="shared" si="57"/>
        <v>400</v>
      </c>
      <c r="AA218" s="68">
        <v>2016</v>
      </c>
      <c r="AB218" s="40"/>
      <c r="AC218" s="40"/>
      <c r="AD218" s="40"/>
      <c r="AE218" s="41"/>
      <c r="AF218" s="41"/>
    </row>
    <row r="219" spans="1:32" s="61" customFormat="1" ht="30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17" t="s">
        <v>181</v>
      </c>
      <c r="S219" s="15" t="s">
        <v>60</v>
      </c>
      <c r="T219" s="21"/>
      <c r="U219" s="8">
        <v>1.6</v>
      </c>
      <c r="V219" s="8"/>
      <c r="W219" s="8"/>
      <c r="X219" s="8"/>
      <c r="Y219" s="8"/>
      <c r="Z219" s="5">
        <f t="shared" si="57"/>
        <v>1.6</v>
      </c>
      <c r="AA219" s="15">
        <v>2016</v>
      </c>
      <c r="AB219" s="40"/>
      <c r="AC219" s="40"/>
      <c r="AD219" s="40"/>
      <c r="AE219" s="41"/>
      <c r="AF219" s="41"/>
    </row>
    <row r="220" spans="1:32" s="61" customFormat="1" ht="45" x14ac:dyDescent="0.25">
      <c r="A220" s="66" t="s">
        <v>23</v>
      </c>
      <c r="B220" s="66" t="s">
        <v>23</v>
      </c>
      <c r="C220" s="66" t="s">
        <v>30</v>
      </c>
      <c r="D220" s="66" t="s">
        <v>23</v>
      </c>
      <c r="E220" s="66" t="s">
        <v>33</v>
      </c>
      <c r="F220" s="66" t="s">
        <v>23</v>
      </c>
      <c r="G220" s="66" t="s">
        <v>32</v>
      </c>
      <c r="H220" s="66" t="s">
        <v>23</v>
      </c>
      <c r="I220" s="66" t="s">
        <v>31</v>
      </c>
      <c r="J220" s="66" t="s">
        <v>24</v>
      </c>
      <c r="K220" s="66" t="s">
        <v>23</v>
      </c>
      <c r="L220" s="66" t="s">
        <v>23</v>
      </c>
      <c r="M220" s="66" t="s">
        <v>23</v>
      </c>
      <c r="N220" s="66" t="s">
        <v>23</v>
      </c>
      <c r="O220" s="66" t="s">
        <v>23</v>
      </c>
      <c r="P220" s="66" t="s">
        <v>23</v>
      </c>
      <c r="Q220" s="66" t="s">
        <v>23</v>
      </c>
      <c r="R220" s="67" t="s">
        <v>182</v>
      </c>
      <c r="S220" s="68" t="s">
        <v>59</v>
      </c>
      <c r="T220" s="72"/>
      <c r="U220" s="70">
        <f>U221+U222</f>
        <v>207</v>
      </c>
      <c r="V220" s="75"/>
      <c r="W220" s="75"/>
      <c r="X220" s="75"/>
      <c r="Y220" s="75"/>
      <c r="Z220" s="70">
        <f t="shared" si="57"/>
        <v>207</v>
      </c>
      <c r="AA220" s="68">
        <v>2016</v>
      </c>
      <c r="AB220" s="40"/>
      <c r="AC220" s="40"/>
      <c r="AD220" s="40"/>
      <c r="AE220" s="41"/>
      <c r="AF220" s="41"/>
    </row>
    <row r="221" spans="1:32" s="61" customFormat="1" ht="45" x14ac:dyDescent="0.25">
      <c r="A221" s="66" t="s">
        <v>23</v>
      </c>
      <c r="B221" s="66" t="s">
        <v>23</v>
      </c>
      <c r="C221" s="66" t="s">
        <v>30</v>
      </c>
      <c r="D221" s="66" t="s">
        <v>23</v>
      </c>
      <c r="E221" s="66" t="s">
        <v>33</v>
      </c>
      <c r="F221" s="66" t="s">
        <v>23</v>
      </c>
      <c r="G221" s="66" t="s">
        <v>32</v>
      </c>
      <c r="H221" s="66" t="s">
        <v>23</v>
      </c>
      <c r="I221" s="66" t="s">
        <v>31</v>
      </c>
      <c r="J221" s="66" t="s">
        <v>24</v>
      </c>
      <c r="K221" s="66" t="s">
        <v>23</v>
      </c>
      <c r="L221" s="66" t="s">
        <v>33</v>
      </c>
      <c r="M221" s="66" t="s">
        <v>178</v>
      </c>
      <c r="N221" s="66" t="s">
        <v>23</v>
      </c>
      <c r="O221" s="66" t="s">
        <v>33</v>
      </c>
      <c r="P221" s="66" t="s">
        <v>34</v>
      </c>
      <c r="Q221" s="66" t="s">
        <v>179</v>
      </c>
      <c r="R221" s="67" t="s">
        <v>182</v>
      </c>
      <c r="S221" s="68" t="s">
        <v>59</v>
      </c>
      <c r="T221" s="72"/>
      <c r="U221" s="69">
        <f>65.6+41.4+17.2</f>
        <v>124.2</v>
      </c>
      <c r="V221" s="72"/>
      <c r="W221" s="72"/>
      <c r="X221" s="72"/>
      <c r="Y221" s="72"/>
      <c r="Z221" s="70">
        <f t="shared" si="57"/>
        <v>124.2</v>
      </c>
      <c r="AA221" s="68">
        <v>2016</v>
      </c>
      <c r="AB221" s="40"/>
      <c r="AC221" s="40"/>
      <c r="AD221" s="40"/>
      <c r="AE221" s="41"/>
      <c r="AF221" s="41"/>
    </row>
    <row r="222" spans="1:32" s="61" customFormat="1" ht="45" x14ac:dyDescent="0.25">
      <c r="A222" s="66" t="s">
        <v>23</v>
      </c>
      <c r="B222" s="66" t="s">
        <v>23</v>
      </c>
      <c r="C222" s="66" t="s">
        <v>30</v>
      </c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33</v>
      </c>
      <c r="M222" s="66" t="s">
        <v>24</v>
      </c>
      <c r="N222" s="66" t="s">
        <v>23</v>
      </c>
      <c r="O222" s="66" t="s">
        <v>33</v>
      </c>
      <c r="P222" s="66" t="s">
        <v>34</v>
      </c>
      <c r="Q222" s="66" t="s">
        <v>179</v>
      </c>
      <c r="R222" s="67" t="s">
        <v>182</v>
      </c>
      <c r="S222" s="68" t="s">
        <v>59</v>
      </c>
      <c r="T222" s="72"/>
      <c r="U222" s="69">
        <v>82.8</v>
      </c>
      <c r="V222" s="72"/>
      <c r="W222" s="72"/>
      <c r="X222" s="72"/>
      <c r="Y222" s="72"/>
      <c r="Z222" s="70">
        <f t="shared" si="57"/>
        <v>82.8</v>
      </c>
      <c r="AA222" s="68">
        <v>2016</v>
      </c>
      <c r="AB222" s="40"/>
      <c r="AC222" s="40"/>
      <c r="AD222" s="40"/>
      <c r="AE222" s="41"/>
      <c r="AF222" s="41"/>
    </row>
    <row r="223" spans="1:32" s="61" customFormat="1" ht="30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17" t="s">
        <v>183</v>
      </c>
      <c r="S223" s="15" t="s">
        <v>21</v>
      </c>
      <c r="T223" s="21"/>
      <c r="U223" s="8">
        <v>92</v>
      </c>
      <c r="V223" s="8"/>
      <c r="W223" s="8"/>
      <c r="X223" s="8"/>
      <c r="Y223" s="8"/>
      <c r="Z223" s="5">
        <f t="shared" si="57"/>
        <v>92</v>
      </c>
      <c r="AA223" s="15">
        <v>2016</v>
      </c>
      <c r="AB223" s="40"/>
      <c r="AC223" s="40"/>
      <c r="AD223" s="40"/>
      <c r="AE223" s="41"/>
      <c r="AF223" s="41"/>
    </row>
    <row r="224" spans="1:32" s="61" customFormat="1" ht="45" x14ac:dyDescent="0.25">
      <c r="A224" s="66" t="s">
        <v>23</v>
      </c>
      <c r="B224" s="66" t="s">
        <v>23</v>
      </c>
      <c r="C224" s="66" t="s">
        <v>35</v>
      </c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23</v>
      </c>
      <c r="M224" s="66" t="s">
        <v>23</v>
      </c>
      <c r="N224" s="66" t="s">
        <v>23</v>
      </c>
      <c r="O224" s="66" t="s">
        <v>23</v>
      </c>
      <c r="P224" s="66" t="s">
        <v>23</v>
      </c>
      <c r="Q224" s="66" t="s">
        <v>23</v>
      </c>
      <c r="R224" s="67" t="s">
        <v>184</v>
      </c>
      <c r="S224" s="68" t="s">
        <v>59</v>
      </c>
      <c r="T224" s="72"/>
      <c r="U224" s="70">
        <f>U225+U226</f>
        <v>1286.2</v>
      </c>
      <c r="V224" s="75"/>
      <c r="W224" s="75"/>
      <c r="X224" s="75"/>
      <c r="Y224" s="75"/>
      <c r="Z224" s="70">
        <f t="shared" si="57"/>
        <v>1286.2</v>
      </c>
      <c r="AA224" s="68">
        <v>2016</v>
      </c>
      <c r="AB224" s="40"/>
      <c r="AC224" s="40"/>
      <c r="AD224" s="40"/>
      <c r="AE224" s="41"/>
      <c r="AF224" s="41"/>
    </row>
    <row r="225" spans="1:32" s="61" customFormat="1" ht="45" x14ac:dyDescent="0.25">
      <c r="A225" s="66" t="s">
        <v>23</v>
      </c>
      <c r="B225" s="66" t="s">
        <v>23</v>
      </c>
      <c r="C225" s="66" t="s">
        <v>35</v>
      </c>
      <c r="D225" s="66" t="s">
        <v>23</v>
      </c>
      <c r="E225" s="66" t="s">
        <v>33</v>
      </c>
      <c r="F225" s="66" t="s">
        <v>23</v>
      </c>
      <c r="G225" s="66" t="s">
        <v>32</v>
      </c>
      <c r="H225" s="66" t="s">
        <v>23</v>
      </c>
      <c r="I225" s="66" t="s">
        <v>31</v>
      </c>
      <c r="J225" s="66" t="s">
        <v>24</v>
      </c>
      <c r="K225" s="66" t="s">
        <v>23</v>
      </c>
      <c r="L225" s="66" t="s">
        <v>33</v>
      </c>
      <c r="M225" s="66" t="s">
        <v>178</v>
      </c>
      <c r="N225" s="66" t="s">
        <v>23</v>
      </c>
      <c r="O225" s="66" t="s">
        <v>33</v>
      </c>
      <c r="P225" s="66" t="s">
        <v>34</v>
      </c>
      <c r="Q225" s="66" t="s">
        <v>179</v>
      </c>
      <c r="R225" s="67" t="s">
        <v>184</v>
      </c>
      <c r="S225" s="68" t="s">
        <v>59</v>
      </c>
      <c r="T225" s="72"/>
      <c r="U225" s="69">
        <f>400+476.2+10</f>
        <v>886.2</v>
      </c>
      <c r="V225" s="72"/>
      <c r="W225" s="72"/>
      <c r="X225" s="72"/>
      <c r="Y225" s="72"/>
      <c r="Z225" s="70">
        <f t="shared" si="57"/>
        <v>886.2</v>
      </c>
      <c r="AA225" s="68">
        <v>2016</v>
      </c>
      <c r="AB225" s="40"/>
      <c r="AC225" s="40"/>
      <c r="AD225" s="40"/>
      <c r="AE225" s="41"/>
      <c r="AF225" s="41"/>
    </row>
    <row r="226" spans="1:32" s="61" customFormat="1" ht="45" x14ac:dyDescent="0.25">
      <c r="A226" s="66" t="s">
        <v>23</v>
      </c>
      <c r="B226" s="66" t="s">
        <v>23</v>
      </c>
      <c r="C226" s="66" t="s">
        <v>35</v>
      </c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33</v>
      </c>
      <c r="M226" s="66" t="s">
        <v>24</v>
      </c>
      <c r="N226" s="66" t="s">
        <v>23</v>
      </c>
      <c r="O226" s="66" t="s">
        <v>33</v>
      </c>
      <c r="P226" s="66" t="s">
        <v>34</v>
      </c>
      <c r="Q226" s="66" t="s">
        <v>179</v>
      </c>
      <c r="R226" s="67" t="s">
        <v>184</v>
      </c>
      <c r="S226" s="68" t="s">
        <v>59</v>
      </c>
      <c r="T226" s="72" t="s">
        <v>187</v>
      </c>
      <c r="U226" s="69">
        <v>400</v>
      </c>
      <c r="V226" s="72"/>
      <c r="W226" s="72"/>
      <c r="X226" s="72"/>
      <c r="Y226" s="72"/>
      <c r="Z226" s="70">
        <f t="shared" si="57"/>
        <v>400</v>
      </c>
      <c r="AA226" s="68">
        <v>2016</v>
      </c>
      <c r="AB226" s="40"/>
      <c r="AC226" s="40"/>
      <c r="AD226" s="40"/>
      <c r="AE226" s="41"/>
      <c r="AF226" s="41"/>
    </row>
    <row r="227" spans="1:32" s="61" customFormat="1" ht="30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17" t="s">
        <v>186</v>
      </c>
      <c r="S227" s="15" t="s">
        <v>185</v>
      </c>
      <c r="T227" s="21"/>
      <c r="U227" s="8">
        <v>873.3</v>
      </c>
      <c r="V227" s="8"/>
      <c r="W227" s="8"/>
      <c r="X227" s="8"/>
      <c r="Y227" s="8"/>
      <c r="Z227" s="5">
        <f t="shared" si="57"/>
        <v>873.3</v>
      </c>
      <c r="AA227" s="15">
        <v>2016</v>
      </c>
      <c r="AB227" s="40"/>
      <c r="AC227" s="40"/>
      <c r="AD227" s="40"/>
      <c r="AE227" s="41"/>
      <c r="AF227" s="41"/>
    </row>
    <row r="228" spans="1:32" s="61" customFormat="1" ht="30" hidden="1" x14ac:dyDescent="0.25">
      <c r="A228" s="66" t="s">
        <v>23</v>
      </c>
      <c r="B228" s="66" t="s">
        <v>24</v>
      </c>
      <c r="C228" s="66" t="s">
        <v>25</v>
      </c>
      <c r="D228" s="66" t="s">
        <v>23</v>
      </c>
      <c r="E228" s="66" t="s">
        <v>33</v>
      </c>
      <c r="F228" s="66" t="s">
        <v>23</v>
      </c>
      <c r="G228" s="66" t="s">
        <v>32</v>
      </c>
      <c r="H228" s="66" t="s">
        <v>23</v>
      </c>
      <c r="I228" s="66" t="s">
        <v>31</v>
      </c>
      <c r="J228" s="66" t="s">
        <v>24</v>
      </c>
      <c r="K228" s="66" t="s">
        <v>23</v>
      </c>
      <c r="L228" s="66" t="s">
        <v>33</v>
      </c>
      <c r="M228" s="66" t="s">
        <v>178</v>
      </c>
      <c r="N228" s="66" t="s">
        <v>23</v>
      </c>
      <c r="O228" s="66" t="s">
        <v>33</v>
      </c>
      <c r="P228" s="66" t="s">
        <v>34</v>
      </c>
      <c r="Q228" s="66" t="s">
        <v>205</v>
      </c>
      <c r="R228" s="67" t="s">
        <v>247</v>
      </c>
      <c r="S228" s="68" t="s">
        <v>59</v>
      </c>
      <c r="T228" s="69"/>
      <c r="U228" s="69"/>
      <c r="V228" s="70"/>
      <c r="W228" s="69"/>
      <c r="X228" s="69"/>
      <c r="Y228" s="69"/>
      <c r="Z228" s="70"/>
      <c r="AA228" s="68"/>
      <c r="AB228" s="46"/>
      <c r="AC228" s="40"/>
      <c r="AD228" s="40"/>
      <c r="AE228" s="41"/>
      <c r="AF228" s="41"/>
    </row>
    <row r="229" spans="1:32" s="61" customFormat="1" ht="60" hidden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17" t="s">
        <v>248</v>
      </c>
      <c r="S229" s="15" t="s">
        <v>60</v>
      </c>
      <c r="T229" s="8"/>
      <c r="U229" s="8"/>
      <c r="V229" s="8"/>
      <c r="W229" s="8"/>
      <c r="X229" s="8"/>
      <c r="Y229" s="8"/>
      <c r="Z229" s="5"/>
      <c r="AA229" s="15"/>
      <c r="AB229" s="46"/>
      <c r="AC229" s="40"/>
      <c r="AD229" s="40"/>
      <c r="AE229" s="41"/>
      <c r="AF229" s="41"/>
    </row>
    <row r="230" spans="1:32" s="61" customFormat="1" ht="45" x14ac:dyDescent="0.25">
      <c r="A230" s="66" t="s">
        <v>23</v>
      </c>
      <c r="B230" s="66" t="s">
        <v>23</v>
      </c>
      <c r="C230" s="66" t="s">
        <v>33</v>
      </c>
      <c r="D230" s="68">
        <v>0</v>
      </c>
      <c r="E230" s="68">
        <v>4</v>
      </c>
      <c r="F230" s="68">
        <v>0</v>
      </c>
      <c r="G230" s="68">
        <v>9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23</v>
      </c>
      <c r="M230" s="66" t="s">
        <v>23</v>
      </c>
      <c r="N230" s="66" t="s">
        <v>23</v>
      </c>
      <c r="O230" s="66" t="s">
        <v>23</v>
      </c>
      <c r="P230" s="66" t="s">
        <v>23</v>
      </c>
      <c r="Q230" s="66" t="s">
        <v>23</v>
      </c>
      <c r="R230" s="67" t="s">
        <v>215</v>
      </c>
      <c r="S230" s="68" t="s">
        <v>59</v>
      </c>
      <c r="T230" s="69"/>
      <c r="U230" s="69"/>
      <c r="V230" s="70">
        <f>V231+V232+V233</f>
        <v>540.29999999999995</v>
      </c>
      <c r="W230" s="69"/>
      <c r="X230" s="69"/>
      <c r="Y230" s="69"/>
      <c r="Z230" s="70">
        <f>V230</f>
        <v>540.29999999999995</v>
      </c>
      <c r="AA230" s="68">
        <v>2017</v>
      </c>
      <c r="AB230" s="46"/>
      <c r="AC230" s="40"/>
      <c r="AD230" s="40"/>
      <c r="AE230" s="41"/>
      <c r="AF230" s="41"/>
    </row>
    <row r="231" spans="1:32" s="61" customFormat="1" ht="45" hidden="1" x14ac:dyDescent="0.25">
      <c r="A231" s="66" t="s">
        <v>23</v>
      </c>
      <c r="B231" s="66" t="s">
        <v>23</v>
      </c>
      <c r="C231" s="66" t="s">
        <v>33</v>
      </c>
      <c r="D231" s="68">
        <v>0</v>
      </c>
      <c r="E231" s="68">
        <v>4</v>
      </c>
      <c r="F231" s="68">
        <v>0</v>
      </c>
      <c r="G231" s="68">
        <v>9</v>
      </c>
      <c r="H231" s="66" t="s">
        <v>23</v>
      </c>
      <c r="I231" s="66" t="s">
        <v>31</v>
      </c>
      <c r="J231" s="66" t="s">
        <v>24</v>
      </c>
      <c r="K231" s="66" t="s">
        <v>23</v>
      </c>
      <c r="L231" s="66" t="s">
        <v>33</v>
      </c>
      <c r="M231" s="66" t="s">
        <v>178</v>
      </c>
      <c r="N231" s="66" t="s">
        <v>23</v>
      </c>
      <c r="O231" s="66" t="s">
        <v>33</v>
      </c>
      <c r="P231" s="66" t="s">
        <v>34</v>
      </c>
      <c r="Q231" s="66" t="s">
        <v>205</v>
      </c>
      <c r="R231" s="67" t="s">
        <v>215</v>
      </c>
      <c r="S231" s="68" t="s">
        <v>59</v>
      </c>
      <c r="T231" s="69"/>
      <c r="U231" s="69"/>
      <c r="V231" s="69">
        <f>442.1-442.1</f>
        <v>0</v>
      </c>
      <c r="W231" s="69"/>
      <c r="X231" s="69"/>
      <c r="Y231" s="69"/>
      <c r="Z231" s="70">
        <f t="shared" ref="Z231:Z233" si="58">V231</f>
        <v>0</v>
      </c>
      <c r="AA231" s="68">
        <v>2017</v>
      </c>
      <c r="AB231" s="46"/>
      <c r="AC231" s="40"/>
      <c r="AD231" s="40"/>
      <c r="AE231" s="41"/>
      <c r="AF231" s="41"/>
    </row>
    <row r="232" spans="1:32" s="61" customFormat="1" ht="45" x14ac:dyDescent="0.25">
      <c r="A232" s="66" t="s">
        <v>23</v>
      </c>
      <c r="B232" s="66" t="s">
        <v>23</v>
      </c>
      <c r="C232" s="66" t="s">
        <v>33</v>
      </c>
      <c r="D232" s="68">
        <v>0</v>
      </c>
      <c r="E232" s="68">
        <v>4</v>
      </c>
      <c r="F232" s="68">
        <v>0</v>
      </c>
      <c r="G232" s="68">
        <v>9</v>
      </c>
      <c r="H232" s="66" t="s">
        <v>23</v>
      </c>
      <c r="I232" s="66" t="s">
        <v>31</v>
      </c>
      <c r="J232" s="66" t="s">
        <v>24</v>
      </c>
      <c r="K232" s="66" t="s">
        <v>23</v>
      </c>
      <c r="L232" s="66" t="s">
        <v>33</v>
      </c>
      <c r="M232" s="66" t="s">
        <v>178</v>
      </c>
      <c r="N232" s="66" t="s">
        <v>23</v>
      </c>
      <c r="O232" s="66" t="s">
        <v>33</v>
      </c>
      <c r="P232" s="66" t="s">
        <v>34</v>
      </c>
      <c r="Q232" s="66" t="s">
        <v>212</v>
      </c>
      <c r="R232" s="67" t="s">
        <v>215</v>
      </c>
      <c r="S232" s="68" t="s">
        <v>59</v>
      </c>
      <c r="T232" s="69"/>
      <c r="U232" s="69"/>
      <c r="V232" s="69">
        <v>147.4</v>
      </c>
      <c r="W232" s="69"/>
      <c r="X232" s="69"/>
      <c r="Y232" s="69"/>
      <c r="Z232" s="70">
        <f t="shared" si="58"/>
        <v>147.4</v>
      </c>
      <c r="AA232" s="68">
        <v>2017</v>
      </c>
      <c r="AB232" s="46"/>
      <c r="AC232" s="40"/>
      <c r="AD232" s="40"/>
      <c r="AE232" s="41"/>
      <c r="AF232" s="41"/>
    </row>
    <row r="233" spans="1:32" s="61" customFormat="1" ht="45" x14ac:dyDescent="0.25">
      <c r="A233" s="66" t="s">
        <v>23</v>
      </c>
      <c r="B233" s="66" t="s">
        <v>23</v>
      </c>
      <c r="C233" s="66" t="s">
        <v>33</v>
      </c>
      <c r="D233" s="68">
        <v>0</v>
      </c>
      <c r="E233" s="68">
        <v>4</v>
      </c>
      <c r="F233" s="68">
        <v>0</v>
      </c>
      <c r="G233" s="68">
        <v>9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33</v>
      </c>
      <c r="M233" s="66" t="s">
        <v>178</v>
      </c>
      <c r="N233" s="66" t="s">
        <v>23</v>
      </c>
      <c r="O233" s="66" t="s">
        <v>33</v>
      </c>
      <c r="P233" s="66" t="s">
        <v>34</v>
      </c>
      <c r="Q233" s="66" t="s">
        <v>213</v>
      </c>
      <c r="R233" s="67" t="s">
        <v>215</v>
      </c>
      <c r="S233" s="68" t="s">
        <v>59</v>
      </c>
      <c r="T233" s="69"/>
      <c r="U233" s="69"/>
      <c r="V233" s="69">
        <v>392.9</v>
      </c>
      <c r="W233" s="69"/>
      <c r="X233" s="69"/>
      <c r="Y233" s="69"/>
      <c r="Z233" s="70">
        <f t="shared" si="58"/>
        <v>392.9</v>
      </c>
      <c r="AA233" s="68">
        <v>2017</v>
      </c>
      <c r="AB233" s="46"/>
      <c r="AC233" s="40"/>
      <c r="AD233" s="40"/>
      <c r="AE233" s="41"/>
      <c r="AF233" s="41"/>
    </row>
    <row r="234" spans="1:32" s="61" customFormat="1" ht="60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17" t="s">
        <v>230</v>
      </c>
      <c r="S234" s="15" t="s">
        <v>60</v>
      </c>
      <c r="T234" s="8"/>
      <c r="U234" s="8"/>
      <c r="V234" s="8">
        <v>0.7</v>
      </c>
      <c r="W234" s="8"/>
      <c r="X234" s="8"/>
      <c r="Y234" s="8"/>
      <c r="Z234" s="5">
        <f>V234</f>
        <v>0.7</v>
      </c>
      <c r="AA234" s="15">
        <v>2017</v>
      </c>
      <c r="AB234" s="46"/>
      <c r="AC234" s="40"/>
      <c r="AD234" s="40"/>
      <c r="AE234" s="41"/>
      <c r="AF234" s="41"/>
    </row>
    <row r="235" spans="1:32" s="61" customFormat="1" ht="45" x14ac:dyDescent="0.25">
      <c r="A235" s="66" t="s">
        <v>23</v>
      </c>
      <c r="B235" s="66" t="s">
        <v>23</v>
      </c>
      <c r="C235" s="66" t="s">
        <v>33</v>
      </c>
      <c r="D235" s="68">
        <v>0</v>
      </c>
      <c r="E235" s="68">
        <v>4</v>
      </c>
      <c r="F235" s="68">
        <v>0</v>
      </c>
      <c r="G235" s="68">
        <v>9</v>
      </c>
      <c r="H235" s="66" t="s">
        <v>23</v>
      </c>
      <c r="I235" s="66" t="s">
        <v>31</v>
      </c>
      <c r="J235" s="66" t="s">
        <v>24</v>
      </c>
      <c r="K235" s="66" t="s">
        <v>23</v>
      </c>
      <c r="L235" s="66" t="s">
        <v>23</v>
      </c>
      <c r="M235" s="66" t="s">
        <v>23</v>
      </c>
      <c r="N235" s="66" t="s">
        <v>23</v>
      </c>
      <c r="O235" s="66" t="s">
        <v>23</v>
      </c>
      <c r="P235" s="66" t="s">
        <v>23</v>
      </c>
      <c r="Q235" s="66" t="s">
        <v>23</v>
      </c>
      <c r="R235" s="67" t="s">
        <v>216</v>
      </c>
      <c r="S235" s="68" t="s">
        <v>59</v>
      </c>
      <c r="T235" s="69"/>
      <c r="U235" s="69"/>
      <c r="V235" s="70">
        <f>V236+V237+V238</f>
        <v>918.59999999999991</v>
      </c>
      <c r="W235" s="69"/>
      <c r="X235" s="69"/>
      <c r="Y235" s="69"/>
      <c r="Z235" s="70">
        <f>V235</f>
        <v>918.59999999999991</v>
      </c>
      <c r="AA235" s="68">
        <v>2017</v>
      </c>
      <c r="AB235" s="46"/>
      <c r="AC235" s="40"/>
      <c r="AD235" s="40"/>
      <c r="AE235" s="41"/>
      <c r="AF235" s="41"/>
    </row>
    <row r="236" spans="1:32" s="61" customFormat="1" ht="45" x14ac:dyDescent="0.25">
      <c r="A236" s="66" t="s">
        <v>23</v>
      </c>
      <c r="B236" s="66" t="s">
        <v>23</v>
      </c>
      <c r="C236" s="66" t="s">
        <v>33</v>
      </c>
      <c r="D236" s="68">
        <v>0</v>
      </c>
      <c r="E236" s="68">
        <v>4</v>
      </c>
      <c r="F236" s="68">
        <v>0</v>
      </c>
      <c r="G236" s="68">
        <v>9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33</v>
      </c>
      <c r="M236" s="66" t="s">
        <v>178</v>
      </c>
      <c r="N236" s="66" t="s">
        <v>23</v>
      </c>
      <c r="O236" s="66" t="s">
        <v>33</v>
      </c>
      <c r="P236" s="66" t="s">
        <v>34</v>
      </c>
      <c r="Q236" s="66" t="s">
        <v>205</v>
      </c>
      <c r="R236" s="67" t="s">
        <v>216</v>
      </c>
      <c r="S236" s="68" t="s">
        <v>59</v>
      </c>
      <c r="T236" s="69"/>
      <c r="U236" s="69"/>
      <c r="V236" s="69">
        <v>440.9</v>
      </c>
      <c r="W236" s="69"/>
      <c r="X236" s="69"/>
      <c r="Y236" s="69"/>
      <c r="Z236" s="70">
        <f t="shared" ref="Z236:Z239" si="59">V236</f>
        <v>440.9</v>
      </c>
      <c r="AA236" s="68">
        <v>2017</v>
      </c>
      <c r="AB236" s="46"/>
      <c r="AC236" s="40"/>
      <c r="AD236" s="40"/>
      <c r="AE236" s="41"/>
      <c r="AF236" s="41"/>
    </row>
    <row r="237" spans="1:32" s="61" customFormat="1" ht="45" x14ac:dyDescent="0.25">
      <c r="A237" s="66" t="s">
        <v>23</v>
      </c>
      <c r="B237" s="66" t="s">
        <v>23</v>
      </c>
      <c r="C237" s="66" t="s">
        <v>33</v>
      </c>
      <c r="D237" s="68">
        <v>0</v>
      </c>
      <c r="E237" s="68">
        <v>4</v>
      </c>
      <c r="F237" s="68">
        <v>0</v>
      </c>
      <c r="G237" s="68">
        <v>9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178</v>
      </c>
      <c r="N237" s="66" t="s">
        <v>23</v>
      </c>
      <c r="O237" s="66" t="s">
        <v>33</v>
      </c>
      <c r="P237" s="66" t="s">
        <v>34</v>
      </c>
      <c r="Q237" s="66" t="s">
        <v>212</v>
      </c>
      <c r="R237" s="67" t="s">
        <v>216</v>
      </c>
      <c r="S237" s="68" t="s">
        <v>59</v>
      </c>
      <c r="T237" s="69"/>
      <c r="U237" s="69"/>
      <c r="V237" s="69">
        <v>110.3</v>
      </c>
      <c r="W237" s="69"/>
      <c r="X237" s="69"/>
      <c r="Y237" s="69"/>
      <c r="Z237" s="70">
        <f t="shared" si="59"/>
        <v>110.3</v>
      </c>
      <c r="AA237" s="68">
        <v>2017</v>
      </c>
      <c r="AB237" s="46"/>
      <c r="AC237" s="40"/>
      <c r="AD237" s="40"/>
      <c r="AE237" s="41"/>
      <c r="AF237" s="41"/>
    </row>
    <row r="238" spans="1:32" s="61" customFormat="1" ht="45" x14ac:dyDescent="0.25">
      <c r="A238" s="66" t="s">
        <v>23</v>
      </c>
      <c r="B238" s="66" t="s">
        <v>23</v>
      </c>
      <c r="C238" s="66" t="s">
        <v>33</v>
      </c>
      <c r="D238" s="68">
        <v>0</v>
      </c>
      <c r="E238" s="68">
        <v>4</v>
      </c>
      <c r="F238" s="68">
        <v>0</v>
      </c>
      <c r="G238" s="68">
        <v>9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178</v>
      </c>
      <c r="N238" s="66" t="s">
        <v>23</v>
      </c>
      <c r="O238" s="66" t="s">
        <v>33</v>
      </c>
      <c r="P238" s="66" t="s">
        <v>34</v>
      </c>
      <c r="Q238" s="66" t="s">
        <v>213</v>
      </c>
      <c r="R238" s="67" t="s">
        <v>216</v>
      </c>
      <c r="S238" s="68" t="s">
        <v>59</v>
      </c>
      <c r="T238" s="69"/>
      <c r="U238" s="69"/>
      <c r="V238" s="69">
        <v>367.4</v>
      </c>
      <c r="W238" s="69"/>
      <c r="X238" s="69"/>
      <c r="Y238" s="69"/>
      <c r="Z238" s="70">
        <f t="shared" si="59"/>
        <v>367.4</v>
      </c>
      <c r="AA238" s="68">
        <v>2017</v>
      </c>
      <c r="AB238" s="46"/>
      <c r="AC238" s="40"/>
      <c r="AD238" s="40"/>
      <c r="AE238" s="41"/>
      <c r="AF238" s="41"/>
    </row>
    <row r="239" spans="1:32" s="61" customFormat="1" ht="30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17" t="s">
        <v>186</v>
      </c>
      <c r="S239" s="15" t="s">
        <v>60</v>
      </c>
      <c r="T239" s="8"/>
      <c r="U239" s="8"/>
      <c r="V239" s="8">
        <v>0.4</v>
      </c>
      <c r="W239" s="8"/>
      <c r="X239" s="8"/>
      <c r="Y239" s="8"/>
      <c r="Z239" s="5">
        <f t="shared" si="59"/>
        <v>0.4</v>
      </c>
      <c r="AA239" s="15">
        <v>2017</v>
      </c>
      <c r="AB239" s="46"/>
      <c r="AC239" s="40"/>
      <c r="AD239" s="40"/>
      <c r="AE239" s="41"/>
      <c r="AF239" s="41"/>
    </row>
    <row r="240" spans="1:32" s="61" customFormat="1" ht="31.15" customHeight="1" x14ac:dyDescent="0.25">
      <c r="A240" s="66" t="s">
        <v>23</v>
      </c>
      <c r="B240" s="66" t="s">
        <v>23</v>
      </c>
      <c r="C240" s="66" t="s">
        <v>33</v>
      </c>
      <c r="D240" s="68">
        <v>0</v>
      </c>
      <c r="E240" s="68">
        <v>4</v>
      </c>
      <c r="F240" s="68">
        <v>0</v>
      </c>
      <c r="G240" s="68">
        <v>9</v>
      </c>
      <c r="H240" s="66" t="s">
        <v>23</v>
      </c>
      <c r="I240" s="66" t="s">
        <v>31</v>
      </c>
      <c r="J240" s="66" t="s">
        <v>24</v>
      </c>
      <c r="K240" s="66" t="s">
        <v>23</v>
      </c>
      <c r="L240" s="66" t="s">
        <v>23</v>
      </c>
      <c r="M240" s="66" t="s">
        <v>23</v>
      </c>
      <c r="N240" s="66" t="s">
        <v>23</v>
      </c>
      <c r="O240" s="66" t="s">
        <v>23</v>
      </c>
      <c r="P240" s="66" t="s">
        <v>23</v>
      </c>
      <c r="Q240" s="66" t="s">
        <v>23</v>
      </c>
      <c r="R240" s="67" t="s">
        <v>217</v>
      </c>
      <c r="S240" s="68" t="s">
        <v>59</v>
      </c>
      <c r="T240" s="69"/>
      <c r="U240" s="69"/>
      <c r="V240" s="70">
        <f>V241+V242+V243</f>
        <v>464.8</v>
      </c>
      <c r="W240" s="69"/>
      <c r="X240" s="69"/>
      <c r="Y240" s="69"/>
      <c r="Z240" s="70">
        <f>V240</f>
        <v>464.8</v>
      </c>
      <c r="AA240" s="68">
        <v>2017</v>
      </c>
      <c r="AB240" s="46"/>
      <c r="AC240" s="40"/>
      <c r="AD240" s="40"/>
      <c r="AE240" s="41"/>
      <c r="AF240" s="41"/>
    </row>
    <row r="241" spans="1:32" s="61" customFormat="1" ht="31.15" hidden="1" customHeight="1" x14ac:dyDescent="0.25">
      <c r="A241" s="66" t="s">
        <v>23</v>
      </c>
      <c r="B241" s="66" t="s">
        <v>23</v>
      </c>
      <c r="C241" s="66" t="s">
        <v>33</v>
      </c>
      <c r="D241" s="68">
        <v>0</v>
      </c>
      <c r="E241" s="68">
        <v>4</v>
      </c>
      <c r="F241" s="68">
        <v>0</v>
      </c>
      <c r="G241" s="68">
        <v>9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33</v>
      </c>
      <c r="M241" s="66" t="s">
        <v>178</v>
      </c>
      <c r="N241" s="66" t="s">
        <v>23</v>
      </c>
      <c r="O241" s="66" t="s">
        <v>33</v>
      </c>
      <c r="P241" s="66" t="s">
        <v>34</v>
      </c>
      <c r="Q241" s="66" t="s">
        <v>205</v>
      </c>
      <c r="R241" s="67" t="s">
        <v>217</v>
      </c>
      <c r="S241" s="68" t="s">
        <v>59</v>
      </c>
      <c r="T241" s="69"/>
      <c r="U241" s="69"/>
      <c r="V241" s="69">
        <f>429-429</f>
        <v>0</v>
      </c>
      <c r="W241" s="69"/>
      <c r="X241" s="69"/>
      <c r="Y241" s="69"/>
      <c r="Z241" s="70">
        <f t="shared" ref="Z241:Z243" si="60">V241</f>
        <v>0</v>
      </c>
      <c r="AA241" s="68">
        <v>2017</v>
      </c>
      <c r="AB241" s="46"/>
      <c r="AC241" s="40"/>
      <c r="AD241" s="40"/>
      <c r="AE241" s="41"/>
      <c r="AF241" s="41"/>
    </row>
    <row r="242" spans="1:32" s="61" customFormat="1" ht="31.15" customHeight="1" x14ac:dyDescent="0.25">
      <c r="A242" s="66" t="s">
        <v>23</v>
      </c>
      <c r="B242" s="66" t="s">
        <v>23</v>
      </c>
      <c r="C242" s="66" t="s">
        <v>33</v>
      </c>
      <c r="D242" s="68">
        <v>0</v>
      </c>
      <c r="E242" s="68">
        <v>4</v>
      </c>
      <c r="F242" s="68">
        <v>0</v>
      </c>
      <c r="G242" s="68">
        <v>9</v>
      </c>
      <c r="H242" s="66" t="s">
        <v>23</v>
      </c>
      <c r="I242" s="66" t="s">
        <v>31</v>
      </c>
      <c r="J242" s="66" t="s">
        <v>24</v>
      </c>
      <c r="K242" s="66" t="s">
        <v>23</v>
      </c>
      <c r="L242" s="66" t="s">
        <v>33</v>
      </c>
      <c r="M242" s="66" t="s">
        <v>178</v>
      </c>
      <c r="N242" s="66" t="s">
        <v>23</v>
      </c>
      <c r="O242" s="66" t="s">
        <v>33</v>
      </c>
      <c r="P242" s="66" t="s">
        <v>34</v>
      </c>
      <c r="Q242" s="66" t="s">
        <v>212</v>
      </c>
      <c r="R242" s="67" t="s">
        <v>217</v>
      </c>
      <c r="S242" s="68" t="s">
        <v>59</v>
      </c>
      <c r="T242" s="69"/>
      <c r="U242" s="69"/>
      <c r="V242" s="69">
        <v>107.3</v>
      </c>
      <c r="W242" s="69"/>
      <c r="X242" s="69"/>
      <c r="Y242" s="69"/>
      <c r="Z242" s="70">
        <f t="shared" si="60"/>
        <v>107.3</v>
      </c>
      <c r="AA242" s="68">
        <v>2017</v>
      </c>
      <c r="AB242" s="46"/>
      <c r="AC242" s="40"/>
      <c r="AD242" s="40"/>
      <c r="AE242" s="41"/>
      <c r="AF242" s="41"/>
    </row>
    <row r="243" spans="1:32" s="61" customFormat="1" ht="31.15" customHeight="1" x14ac:dyDescent="0.25">
      <c r="A243" s="66" t="s">
        <v>23</v>
      </c>
      <c r="B243" s="66" t="s">
        <v>23</v>
      </c>
      <c r="C243" s="66" t="s">
        <v>33</v>
      </c>
      <c r="D243" s="68">
        <v>0</v>
      </c>
      <c r="E243" s="68">
        <v>4</v>
      </c>
      <c r="F243" s="68">
        <v>0</v>
      </c>
      <c r="G243" s="68">
        <v>9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178</v>
      </c>
      <c r="N243" s="66" t="s">
        <v>23</v>
      </c>
      <c r="O243" s="66" t="s">
        <v>33</v>
      </c>
      <c r="P243" s="66" t="s">
        <v>34</v>
      </c>
      <c r="Q243" s="66" t="s">
        <v>213</v>
      </c>
      <c r="R243" s="67" t="s">
        <v>217</v>
      </c>
      <c r="S243" s="68" t="s">
        <v>59</v>
      </c>
      <c r="T243" s="69"/>
      <c r="U243" s="69"/>
      <c r="V243" s="69">
        <v>357.5</v>
      </c>
      <c r="W243" s="69"/>
      <c r="X243" s="69"/>
      <c r="Y243" s="69"/>
      <c r="Z243" s="70">
        <f t="shared" si="60"/>
        <v>357.5</v>
      </c>
      <c r="AA243" s="68">
        <v>2017</v>
      </c>
      <c r="AB243" s="46"/>
      <c r="AC243" s="40"/>
      <c r="AD243" s="40"/>
      <c r="AE243" s="41"/>
      <c r="AF243" s="41"/>
    </row>
    <row r="244" spans="1:32" s="61" customFormat="1" ht="60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17" t="s">
        <v>230</v>
      </c>
      <c r="S244" s="15" t="s">
        <v>60</v>
      </c>
      <c r="T244" s="8"/>
      <c r="U244" s="8"/>
      <c r="V244" s="8">
        <v>1</v>
      </c>
      <c r="W244" s="8"/>
      <c r="X244" s="8"/>
      <c r="Y244" s="8"/>
      <c r="Z244" s="5">
        <f>V244</f>
        <v>1</v>
      </c>
      <c r="AA244" s="15">
        <v>2017</v>
      </c>
      <c r="AB244" s="46"/>
      <c r="AC244" s="40"/>
      <c r="AD244" s="40"/>
      <c r="AE244" s="41"/>
      <c r="AF244" s="41"/>
    </row>
    <row r="245" spans="1:32" s="61" customFormat="1" ht="45" x14ac:dyDescent="0.25">
      <c r="A245" s="66" t="s">
        <v>23</v>
      </c>
      <c r="B245" s="66" t="s">
        <v>23</v>
      </c>
      <c r="C245" s="66" t="s">
        <v>33</v>
      </c>
      <c r="D245" s="68">
        <v>0</v>
      </c>
      <c r="E245" s="68">
        <v>4</v>
      </c>
      <c r="F245" s="68">
        <v>0</v>
      </c>
      <c r="G245" s="68">
        <v>9</v>
      </c>
      <c r="H245" s="66" t="s">
        <v>23</v>
      </c>
      <c r="I245" s="66" t="s">
        <v>31</v>
      </c>
      <c r="J245" s="66" t="s">
        <v>24</v>
      </c>
      <c r="K245" s="66" t="s">
        <v>23</v>
      </c>
      <c r="L245" s="66" t="s">
        <v>23</v>
      </c>
      <c r="M245" s="66" t="s">
        <v>23</v>
      </c>
      <c r="N245" s="66" t="s">
        <v>23</v>
      </c>
      <c r="O245" s="66" t="s">
        <v>23</v>
      </c>
      <c r="P245" s="66" t="s">
        <v>23</v>
      </c>
      <c r="Q245" s="66" t="s">
        <v>23</v>
      </c>
      <c r="R245" s="67" t="s">
        <v>218</v>
      </c>
      <c r="S245" s="68" t="s">
        <v>59</v>
      </c>
      <c r="T245" s="69"/>
      <c r="U245" s="69"/>
      <c r="V245" s="70">
        <f>V246+V247+V248</f>
        <v>985.8</v>
      </c>
      <c r="W245" s="69"/>
      <c r="X245" s="69"/>
      <c r="Y245" s="69"/>
      <c r="Z245" s="70">
        <f>V245</f>
        <v>985.8</v>
      </c>
      <c r="AA245" s="68">
        <v>2017</v>
      </c>
      <c r="AB245" s="46"/>
      <c r="AC245" s="40"/>
      <c r="AD245" s="40"/>
      <c r="AE245" s="41"/>
      <c r="AF245" s="41"/>
    </row>
    <row r="246" spans="1:32" s="61" customFormat="1" ht="45" x14ac:dyDescent="0.25">
      <c r="A246" s="66" t="s">
        <v>23</v>
      </c>
      <c r="B246" s="66" t="s">
        <v>23</v>
      </c>
      <c r="C246" s="66" t="s">
        <v>33</v>
      </c>
      <c r="D246" s="68">
        <v>0</v>
      </c>
      <c r="E246" s="68">
        <v>4</v>
      </c>
      <c r="F246" s="68">
        <v>0</v>
      </c>
      <c r="G246" s="68">
        <v>9</v>
      </c>
      <c r="H246" s="66" t="s">
        <v>23</v>
      </c>
      <c r="I246" s="66" t="s">
        <v>31</v>
      </c>
      <c r="J246" s="66" t="s">
        <v>24</v>
      </c>
      <c r="K246" s="66" t="s">
        <v>23</v>
      </c>
      <c r="L246" s="66" t="s">
        <v>33</v>
      </c>
      <c r="M246" s="66" t="s">
        <v>178</v>
      </c>
      <c r="N246" s="66" t="s">
        <v>23</v>
      </c>
      <c r="O246" s="66" t="s">
        <v>33</v>
      </c>
      <c r="P246" s="66" t="s">
        <v>34</v>
      </c>
      <c r="Q246" s="66" t="s">
        <v>205</v>
      </c>
      <c r="R246" s="67" t="s">
        <v>218</v>
      </c>
      <c r="S246" s="68" t="s">
        <v>59</v>
      </c>
      <c r="T246" s="69"/>
      <c r="U246" s="69"/>
      <c r="V246" s="69">
        <v>473.2</v>
      </c>
      <c r="W246" s="69"/>
      <c r="X246" s="69"/>
      <c r="Y246" s="69"/>
      <c r="Z246" s="70">
        <f t="shared" ref="Z246:Z248" si="61">V246</f>
        <v>473.2</v>
      </c>
      <c r="AA246" s="68">
        <v>2017</v>
      </c>
      <c r="AB246" s="46"/>
      <c r="AC246" s="40"/>
      <c r="AD246" s="40"/>
      <c r="AE246" s="41"/>
      <c r="AF246" s="41"/>
    </row>
    <row r="247" spans="1:32" s="61" customFormat="1" ht="45" x14ac:dyDescent="0.25">
      <c r="A247" s="66" t="s">
        <v>23</v>
      </c>
      <c r="B247" s="66" t="s">
        <v>23</v>
      </c>
      <c r="C247" s="66" t="s">
        <v>33</v>
      </c>
      <c r="D247" s="68">
        <v>0</v>
      </c>
      <c r="E247" s="68">
        <v>4</v>
      </c>
      <c r="F247" s="68">
        <v>0</v>
      </c>
      <c r="G247" s="68">
        <v>9</v>
      </c>
      <c r="H247" s="66" t="s">
        <v>23</v>
      </c>
      <c r="I247" s="66" t="s">
        <v>31</v>
      </c>
      <c r="J247" s="66" t="s">
        <v>24</v>
      </c>
      <c r="K247" s="66" t="s">
        <v>23</v>
      </c>
      <c r="L247" s="66" t="s">
        <v>33</v>
      </c>
      <c r="M247" s="66" t="s">
        <v>178</v>
      </c>
      <c r="N247" s="66" t="s">
        <v>23</v>
      </c>
      <c r="O247" s="66" t="s">
        <v>33</v>
      </c>
      <c r="P247" s="66" t="s">
        <v>34</v>
      </c>
      <c r="Q247" s="66" t="s">
        <v>212</v>
      </c>
      <c r="R247" s="67" t="s">
        <v>218</v>
      </c>
      <c r="S247" s="68" t="s">
        <v>59</v>
      </c>
      <c r="T247" s="69"/>
      <c r="U247" s="69"/>
      <c r="V247" s="69">
        <v>118.3</v>
      </c>
      <c r="W247" s="69"/>
      <c r="X247" s="69"/>
      <c r="Y247" s="69"/>
      <c r="Z247" s="70">
        <f t="shared" si="61"/>
        <v>118.3</v>
      </c>
      <c r="AA247" s="68">
        <v>2017</v>
      </c>
      <c r="AB247" s="46"/>
      <c r="AC247" s="40"/>
      <c r="AD247" s="40"/>
      <c r="AE247" s="41"/>
      <c r="AF247" s="41"/>
    </row>
    <row r="248" spans="1:32" s="61" customFormat="1" ht="45" x14ac:dyDescent="0.25">
      <c r="A248" s="66" t="s">
        <v>23</v>
      </c>
      <c r="B248" s="66" t="s">
        <v>23</v>
      </c>
      <c r="C248" s="66" t="s">
        <v>33</v>
      </c>
      <c r="D248" s="68">
        <v>0</v>
      </c>
      <c r="E248" s="68">
        <v>4</v>
      </c>
      <c r="F248" s="68">
        <v>0</v>
      </c>
      <c r="G248" s="68">
        <v>9</v>
      </c>
      <c r="H248" s="66" t="s">
        <v>23</v>
      </c>
      <c r="I248" s="66" t="s">
        <v>31</v>
      </c>
      <c r="J248" s="66" t="s">
        <v>24</v>
      </c>
      <c r="K248" s="66" t="s">
        <v>23</v>
      </c>
      <c r="L248" s="66" t="s">
        <v>33</v>
      </c>
      <c r="M248" s="66" t="s">
        <v>178</v>
      </c>
      <c r="N248" s="66" t="s">
        <v>23</v>
      </c>
      <c r="O248" s="66" t="s">
        <v>33</v>
      </c>
      <c r="P248" s="66" t="s">
        <v>34</v>
      </c>
      <c r="Q248" s="66" t="s">
        <v>213</v>
      </c>
      <c r="R248" s="67" t="s">
        <v>218</v>
      </c>
      <c r="S248" s="68" t="s">
        <v>59</v>
      </c>
      <c r="T248" s="69"/>
      <c r="U248" s="69"/>
      <c r="V248" s="69">
        <v>394.3</v>
      </c>
      <c r="W248" s="69"/>
      <c r="X248" s="69"/>
      <c r="Y248" s="69"/>
      <c r="Z248" s="70">
        <f t="shared" si="61"/>
        <v>394.3</v>
      </c>
      <c r="AA248" s="68">
        <v>2017</v>
      </c>
      <c r="AB248" s="46"/>
      <c r="AC248" s="40"/>
      <c r="AD248" s="40"/>
      <c r="AE248" s="41"/>
      <c r="AF248" s="41"/>
    </row>
    <row r="249" spans="1:32" s="61" customFormat="1" ht="60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17" t="s">
        <v>230</v>
      </c>
      <c r="S249" s="15" t="s">
        <v>60</v>
      </c>
      <c r="T249" s="8"/>
      <c r="U249" s="8"/>
      <c r="V249" s="8">
        <v>0.5</v>
      </c>
      <c r="W249" s="8"/>
      <c r="X249" s="8"/>
      <c r="Y249" s="8"/>
      <c r="Z249" s="5">
        <f>V249</f>
        <v>0.5</v>
      </c>
      <c r="AA249" s="15">
        <v>2017</v>
      </c>
      <c r="AB249" s="46"/>
      <c r="AC249" s="40"/>
      <c r="AD249" s="40"/>
      <c r="AE249" s="41"/>
      <c r="AF249" s="41"/>
    </row>
    <row r="250" spans="1:32" s="61" customFormat="1" ht="45" x14ac:dyDescent="0.25">
      <c r="A250" s="66" t="s">
        <v>23</v>
      </c>
      <c r="B250" s="66" t="s">
        <v>23</v>
      </c>
      <c r="C250" s="66" t="s">
        <v>33</v>
      </c>
      <c r="D250" s="68">
        <v>0</v>
      </c>
      <c r="E250" s="68">
        <v>4</v>
      </c>
      <c r="F250" s="68">
        <v>0</v>
      </c>
      <c r="G250" s="68">
        <v>9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23</v>
      </c>
      <c r="M250" s="66" t="s">
        <v>23</v>
      </c>
      <c r="N250" s="66" t="s">
        <v>23</v>
      </c>
      <c r="O250" s="66" t="s">
        <v>23</v>
      </c>
      <c r="P250" s="66" t="s">
        <v>23</v>
      </c>
      <c r="Q250" s="66" t="s">
        <v>23</v>
      </c>
      <c r="R250" s="67" t="s">
        <v>219</v>
      </c>
      <c r="S250" s="68" t="s">
        <v>59</v>
      </c>
      <c r="T250" s="69"/>
      <c r="U250" s="69"/>
      <c r="V250" s="70">
        <f>V251+V252+V253</f>
        <v>789.3</v>
      </c>
      <c r="W250" s="69"/>
      <c r="X250" s="69"/>
      <c r="Y250" s="69"/>
      <c r="Z250" s="70">
        <f>V250</f>
        <v>789.3</v>
      </c>
      <c r="AA250" s="68">
        <v>2017</v>
      </c>
      <c r="AB250" s="46"/>
      <c r="AC250" s="40"/>
      <c r="AD250" s="40"/>
      <c r="AE250" s="41"/>
      <c r="AF250" s="41"/>
    </row>
    <row r="251" spans="1:32" s="61" customFormat="1" ht="45" x14ac:dyDescent="0.25">
      <c r="A251" s="66" t="s">
        <v>23</v>
      </c>
      <c r="B251" s="66" t="s">
        <v>23</v>
      </c>
      <c r="C251" s="66" t="s">
        <v>33</v>
      </c>
      <c r="D251" s="68">
        <v>0</v>
      </c>
      <c r="E251" s="68">
        <v>4</v>
      </c>
      <c r="F251" s="68">
        <v>0</v>
      </c>
      <c r="G251" s="68">
        <v>9</v>
      </c>
      <c r="H251" s="66" t="s">
        <v>23</v>
      </c>
      <c r="I251" s="66" t="s">
        <v>31</v>
      </c>
      <c r="J251" s="66" t="s">
        <v>24</v>
      </c>
      <c r="K251" s="66" t="s">
        <v>23</v>
      </c>
      <c r="L251" s="66" t="s">
        <v>33</v>
      </c>
      <c r="M251" s="66" t="s">
        <v>178</v>
      </c>
      <c r="N251" s="66" t="s">
        <v>23</v>
      </c>
      <c r="O251" s="66" t="s">
        <v>33</v>
      </c>
      <c r="P251" s="66" t="s">
        <v>34</v>
      </c>
      <c r="Q251" s="66" t="s">
        <v>205</v>
      </c>
      <c r="R251" s="67" t="s">
        <v>219</v>
      </c>
      <c r="S251" s="68" t="s">
        <v>59</v>
      </c>
      <c r="T251" s="69"/>
      <c r="U251" s="69"/>
      <c r="V251" s="69">
        <v>394.6</v>
      </c>
      <c r="W251" s="69"/>
      <c r="X251" s="69"/>
      <c r="Y251" s="69"/>
      <c r="Z251" s="70">
        <f t="shared" ref="Z251:Z253" si="62">V251</f>
        <v>394.6</v>
      </c>
      <c r="AA251" s="68">
        <v>2017</v>
      </c>
      <c r="AB251" s="46"/>
      <c r="AC251" s="40"/>
      <c r="AD251" s="40"/>
      <c r="AE251" s="41"/>
      <c r="AF251" s="41"/>
    </row>
    <row r="252" spans="1:32" s="61" customFormat="1" ht="45" x14ac:dyDescent="0.25">
      <c r="A252" s="66" t="s">
        <v>23</v>
      </c>
      <c r="B252" s="66" t="s">
        <v>23</v>
      </c>
      <c r="C252" s="66" t="s">
        <v>33</v>
      </c>
      <c r="D252" s="68">
        <v>0</v>
      </c>
      <c r="E252" s="68">
        <v>4</v>
      </c>
      <c r="F252" s="68">
        <v>0</v>
      </c>
      <c r="G252" s="68">
        <v>9</v>
      </c>
      <c r="H252" s="66" t="s">
        <v>23</v>
      </c>
      <c r="I252" s="66" t="s">
        <v>31</v>
      </c>
      <c r="J252" s="66" t="s">
        <v>24</v>
      </c>
      <c r="K252" s="66" t="s">
        <v>23</v>
      </c>
      <c r="L252" s="66" t="s">
        <v>33</v>
      </c>
      <c r="M252" s="66" t="s">
        <v>178</v>
      </c>
      <c r="N252" s="66" t="s">
        <v>23</v>
      </c>
      <c r="O252" s="66" t="s">
        <v>33</v>
      </c>
      <c r="P252" s="66" t="s">
        <v>34</v>
      </c>
      <c r="Q252" s="66" t="s">
        <v>212</v>
      </c>
      <c r="R252" s="67" t="s">
        <v>219</v>
      </c>
      <c r="S252" s="68" t="s">
        <v>59</v>
      </c>
      <c r="T252" s="69"/>
      <c r="U252" s="69"/>
      <c r="V252" s="69">
        <v>79</v>
      </c>
      <c r="W252" s="69"/>
      <c r="X252" s="69"/>
      <c r="Y252" s="69"/>
      <c r="Z252" s="70">
        <f t="shared" si="62"/>
        <v>79</v>
      </c>
      <c r="AA252" s="68">
        <v>2017</v>
      </c>
      <c r="AB252" s="46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33</v>
      </c>
      <c r="D253" s="68">
        <v>0</v>
      </c>
      <c r="E253" s="68">
        <v>4</v>
      </c>
      <c r="F253" s="68">
        <v>0</v>
      </c>
      <c r="G253" s="68">
        <v>9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33</v>
      </c>
      <c r="M253" s="66" t="s">
        <v>178</v>
      </c>
      <c r="N253" s="66" t="s">
        <v>23</v>
      </c>
      <c r="O253" s="66" t="s">
        <v>33</v>
      </c>
      <c r="P253" s="66" t="s">
        <v>34</v>
      </c>
      <c r="Q253" s="66" t="s">
        <v>213</v>
      </c>
      <c r="R253" s="67" t="s">
        <v>219</v>
      </c>
      <c r="S253" s="68" t="s">
        <v>59</v>
      </c>
      <c r="T253" s="69"/>
      <c r="U253" s="69"/>
      <c r="V253" s="69">
        <v>315.7</v>
      </c>
      <c r="W253" s="69"/>
      <c r="X253" s="69"/>
      <c r="Y253" s="69"/>
      <c r="Z253" s="70">
        <f t="shared" si="62"/>
        <v>315.7</v>
      </c>
      <c r="AA253" s="68">
        <v>2017</v>
      </c>
      <c r="AB253" s="46"/>
      <c r="AC253" s="40"/>
      <c r="AD253" s="40"/>
      <c r="AE253" s="41"/>
      <c r="AF253" s="41"/>
    </row>
    <row r="254" spans="1:32" s="61" customFormat="1" ht="30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17" t="s">
        <v>186</v>
      </c>
      <c r="S254" s="15" t="s">
        <v>60</v>
      </c>
      <c r="T254" s="8"/>
      <c r="U254" s="8"/>
      <c r="V254" s="8">
        <v>0.6</v>
      </c>
      <c r="W254" s="8"/>
      <c r="X254" s="8"/>
      <c r="Y254" s="8"/>
      <c r="Z254" s="5">
        <f>V254</f>
        <v>0.6</v>
      </c>
      <c r="AA254" s="15">
        <v>2017</v>
      </c>
      <c r="AB254" s="46"/>
      <c r="AC254" s="40"/>
      <c r="AD254" s="40"/>
      <c r="AE254" s="41"/>
      <c r="AF254" s="41"/>
    </row>
    <row r="255" spans="1:32" s="61" customFormat="1" ht="45" x14ac:dyDescent="0.25">
      <c r="A255" s="66" t="s">
        <v>23</v>
      </c>
      <c r="B255" s="66" t="s">
        <v>23</v>
      </c>
      <c r="C255" s="66" t="s">
        <v>33</v>
      </c>
      <c r="D255" s="68">
        <v>0</v>
      </c>
      <c r="E255" s="68">
        <v>4</v>
      </c>
      <c r="F255" s="68">
        <v>0</v>
      </c>
      <c r="G255" s="68">
        <v>9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23</v>
      </c>
      <c r="M255" s="66" t="s">
        <v>23</v>
      </c>
      <c r="N255" s="66" t="s">
        <v>23</v>
      </c>
      <c r="O255" s="66" t="s">
        <v>23</v>
      </c>
      <c r="P255" s="66" t="s">
        <v>23</v>
      </c>
      <c r="Q255" s="66" t="s">
        <v>23</v>
      </c>
      <c r="R255" s="67" t="s">
        <v>220</v>
      </c>
      <c r="S255" s="68" t="s">
        <v>59</v>
      </c>
      <c r="T255" s="69"/>
      <c r="U255" s="69"/>
      <c r="V255" s="70">
        <f>V256+V257+V258</f>
        <v>498.7</v>
      </c>
      <c r="W255" s="69"/>
      <c r="X255" s="69"/>
      <c r="Y255" s="69"/>
      <c r="Z255" s="70">
        <f>V255</f>
        <v>498.7</v>
      </c>
      <c r="AA255" s="68">
        <v>2017</v>
      </c>
      <c r="AB255" s="46"/>
      <c r="AC255" s="40"/>
      <c r="AD255" s="40"/>
      <c r="AE255" s="41"/>
      <c r="AF255" s="41"/>
    </row>
    <row r="256" spans="1:32" s="61" customFormat="1" ht="45" hidden="1" x14ac:dyDescent="0.25">
      <c r="A256" s="66" t="s">
        <v>23</v>
      </c>
      <c r="B256" s="66" t="s">
        <v>23</v>
      </c>
      <c r="C256" s="66" t="s">
        <v>33</v>
      </c>
      <c r="D256" s="68">
        <v>0</v>
      </c>
      <c r="E256" s="68">
        <v>4</v>
      </c>
      <c r="F256" s="68">
        <v>0</v>
      </c>
      <c r="G256" s="68">
        <v>9</v>
      </c>
      <c r="H256" s="66" t="s">
        <v>23</v>
      </c>
      <c r="I256" s="66" t="s">
        <v>31</v>
      </c>
      <c r="J256" s="66" t="s">
        <v>24</v>
      </c>
      <c r="K256" s="66" t="s">
        <v>23</v>
      </c>
      <c r="L256" s="66" t="s">
        <v>33</v>
      </c>
      <c r="M256" s="66" t="s">
        <v>178</v>
      </c>
      <c r="N256" s="66" t="s">
        <v>23</v>
      </c>
      <c r="O256" s="66" t="s">
        <v>33</v>
      </c>
      <c r="P256" s="66" t="s">
        <v>34</v>
      </c>
      <c r="Q256" s="66" t="s">
        <v>205</v>
      </c>
      <c r="R256" s="67" t="s">
        <v>220</v>
      </c>
      <c r="S256" s="68" t="s">
        <v>59</v>
      </c>
      <c r="T256" s="69"/>
      <c r="U256" s="69"/>
      <c r="V256" s="69">
        <f>498.7-498.7</f>
        <v>0</v>
      </c>
      <c r="W256" s="69"/>
      <c r="X256" s="69"/>
      <c r="Y256" s="69"/>
      <c r="Z256" s="70">
        <f t="shared" ref="Z256:Z258" si="63">V256</f>
        <v>0</v>
      </c>
      <c r="AA256" s="68">
        <v>2017</v>
      </c>
      <c r="AB256" s="46"/>
      <c r="AC256" s="40"/>
      <c r="AD256" s="40"/>
      <c r="AE256" s="41"/>
      <c r="AF256" s="41"/>
    </row>
    <row r="257" spans="1:32" s="61" customFormat="1" ht="45" x14ac:dyDescent="0.25">
      <c r="A257" s="66" t="s">
        <v>23</v>
      </c>
      <c r="B257" s="66" t="s">
        <v>23</v>
      </c>
      <c r="C257" s="66" t="s">
        <v>33</v>
      </c>
      <c r="D257" s="68">
        <v>0</v>
      </c>
      <c r="E257" s="68">
        <v>4</v>
      </c>
      <c r="F257" s="68">
        <v>0</v>
      </c>
      <c r="G257" s="68">
        <v>9</v>
      </c>
      <c r="H257" s="66" t="s">
        <v>23</v>
      </c>
      <c r="I257" s="66" t="s">
        <v>31</v>
      </c>
      <c r="J257" s="66" t="s">
        <v>24</v>
      </c>
      <c r="K257" s="66" t="s">
        <v>23</v>
      </c>
      <c r="L257" s="66" t="s">
        <v>33</v>
      </c>
      <c r="M257" s="66" t="s">
        <v>178</v>
      </c>
      <c r="N257" s="66" t="s">
        <v>23</v>
      </c>
      <c r="O257" s="66" t="s">
        <v>33</v>
      </c>
      <c r="P257" s="66" t="s">
        <v>34</v>
      </c>
      <c r="Q257" s="66" t="s">
        <v>212</v>
      </c>
      <c r="R257" s="67" t="s">
        <v>220</v>
      </c>
      <c r="S257" s="68" t="s">
        <v>59</v>
      </c>
      <c r="T257" s="69"/>
      <c r="U257" s="69"/>
      <c r="V257" s="69">
        <v>99.8</v>
      </c>
      <c r="W257" s="69"/>
      <c r="X257" s="69"/>
      <c r="Y257" s="69"/>
      <c r="Z257" s="70">
        <f t="shared" si="63"/>
        <v>99.8</v>
      </c>
      <c r="AA257" s="68">
        <v>2017</v>
      </c>
      <c r="AB257" s="46"/>
      <c r="AC257" s="40"/>
      <c r="AD257" s="40"/>
      <c r="AE257" s="41"/>
      <c r="AF257" s="41"/>
    </row>
    <row r="258" spans="1:32" s="61" customFormat="1" ht="45" x14ac:dyDescent="0.25">
      <c r="A258" s="66" t="s">
        <v>23</v>
      </c>
      <c r="B258" s="66" t="s">
        <v>23</v>
      </c>
      <c r="C258" s="66" t="s">
        <v>33</v>
      </c>
      <c r="D258" s="68">
        <v>0</v>
      </c>
      <c r="E258" s="68">
        <v>4</v>
      </c>
      <c r="F258" s="68">
        <v>0</v>
      </c>
      <c r="G258" s="68">
        <v>9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33</v>
      </c>
      <c r="M258" s="66" t="s">
        <v>178</v>
      </c>
      <c r="N258" s="66" t="s">
        <v>23</v>
      </c>
      <c r="O258" s="66" t="s">
        <v>33</v>
      </c>
      <c r="P258" s="66" t="s">
        <v>34</v>
      </c>
      <c r="Q258" s="66" t="s">
        <v>213</v>
      </c>
      <c r="R258" s="67" t="s">
        <v>220</v>
      </c>
      <c r="S258" s="68" t="s">
        <v>59</v>
      </c>
      <c r="T258" s="69"/>
      <c r="U258" s="69"/>
      <c r="V258" s="69">
        <v>398.9</v>
      </c>
      <c r="W258" s="69"/>
      <c r="X258" s="69"/>
      <c r="Y258" s="69"/>
      <c r="Z258" s="70">
        <f t="shared" si="63"/>
        <v>398.9</v>
      </c>
      <c r="AA258" s="68">
        <v>2017</v>
      </c>
      <c r="AB258" s="46"/>
      <c r="AC258" s="40"/>
      <c r="AD258" s="40"/>
      <c r="AE258" s="41"/>
      <c r="AF258" s="41"/>
    </row>
    <row r="259" spans="1:32" s="61" customFormat="1" ht="60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17" t="s">
        <v>230</v>
      </c>
      <c r="S259" s="15" t="s">
        <v>60</v>
      </c>
      <c r="T259" s="8"/>
      <c r="U259" s="8"/>
      <c r="V259" s="8">
        <v>0.7</v>
      </c>
      <c r="W259" s="8"/>
      <c r="X259" s="8"/>
      <c r="Y259" s="8"/>
      <c r="Z259" s="5">
        <f>V259</f>
        <v>0.7</v>
      </c>
      <c r="AA259" s="15">
        <v>2017</v>
      </c>
      <c r="AB259" s="46"/>
      <c r="AC259" s="40"/>
      <c r="AD259" s="40"/>
      <c r="AE259" s="41"/>
      <c r="AF259" s="41"/>
    </row>
    <row r="260" spans="1:32" s="61" customFormat="1" ht="45" x14ac:dyDescent="0.25">
      <c r="A260" s="66" t="s">
        <v>23</v>
      </c>
      <c r="B260" s="66" t="s">
        <v>23</v>
      </c>
      <c r="C260" s="66" t="s">
        <v>30</v>
      </c>
      <c r="D260" s="68">
        <v>0</v>
      </c>
      <c r="E260" s="68">
        <v>4</v>
      </c>
      <c r="F260" s="68">
        <v>0</v>
      </c>
      <c r="G260" s="68">
        <v>9</v>
      </c>
      <c r="H260" s="66" t="s">
        <v>23</v>
      </c>
      <c r="I260" s="66" t="s">
        <v>31</v>
      </c>
      <c r="J260" s="66" t="s">
        <v>24</v>
      </c>
      <c r="K260" s="66" t="s">
        <v>23</v>
      </c>
      <c r="L260" s="66" t="s">
        <v>23</v>
      </c>
      <c r="M260" s="66" t="s">
        <v>23</v>
      </c>
      <c r="N260" s="66" t="s">
        <v>23</v>
      </c>
      <c r="O260" s="66" t="s">
        <v>23</v>
      </c>
      <c r="P260" s="66" t="s">
        <v>23</v>
      </c>
      <c r="Q260" s="66" t="s">
        <v>23</v>
      </c>
      <c r="R260" s="67" t="s">
        <v>221</v>
      </c>
      <c r="S260" s="68" t="s">
        <v>59</v>
      </c>
      <c r="T260" s="69"/>
      <c r="U260" s="69"/>
      <c r="V260" s="70">
        <f>V261+V262+V263+V264</f>
        <v>865.30000000000007</v>
      </c>
      <c r="W260" s="69"/>
      <c r="X260" s="69"/>
      <c r="Y260" s="69"/>
      <c r="Z260" s="70">
        <f>V260</f>
        <v>865.30000000000007</v>
      </c>
      <c r="AA260" s="68">
        <v>2017</v>
      </c>
      <c r="AB260" s="46"/>
      <c r="AC260" s="40"/>
      <c r="AD260" s="40"/>
      <c r="AE260" s="41"/>
      <c r="AF260" s="41"/>
    </row>
    <row r="261" spans="1:32" s="61" customFormat="1" ht="45" x14ac:dyDescent="0.25">
      <c r="A261" s="66" t="s">
        <v>23</v>
      </c>
      <c r="B261" s="66" t="s">
        <v>23</v>
      </c>
      <c r="C261" s="66" t="s">
        <v>30</v>
      </c>
      <c r="D261" s="68">
        <v>0</v>
      </c>
      <c r="E261" s="68">
        <v>4</v>
      </c>
      <c r="F261" s="68">
        <v>0</v>
      </c>
      <c r="G261" s="68">
        <v>9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33</v>
      </c>
      <c r="M261" s="66" t="s">
        <v>178</v>
      </c>
      <c r="N261" s="66" t="s">
        <v>23</v>
      </c>
      <c r="O261" s="66" t="s">
        <v>33</v>
      </c>
      <c r="P261" s="66" t="s">
        <v>34</v>
      </c>
      <c r="Q261" s="66" t="s">
        <v>205</v>
      </c>
      <c r="R261" s="67" t="s">
        <v>221</v>
      </c>
      <c r="S261" s="68" t="s">
        <v>59</v>
      </c>
      <c r="T261" s="69"/>
      <c r="U261" s="69"/>
      <c r="V261" s="69">
        <v>194.2</v>
      </c>
      <c r="W261" s="69"/>
      <c r="X261" s="69"/>
      <c r="Y261" s="69"/>
      <c r="Z261" s="70">
        <f t="shared" ref="Z261:Z265" si="64">V261</f>
        <v>194.2</v>
      </c>
      <c r="AA261" s="68">
        <v>2017</v>
      </c>
      <c r="AB261" s="46"/>
      <c r="AC261" s="40"/>
      <c r="AD261" s="40"/>
      <c r="AE261" s="41"/>
      <c r="AF261" s="41"/>
    </row>
    <row r="262" spans="1:32" s="61" customFormat="1" ht="45" x14ac:dyDescent="0.25">
      <c r="A262" s="66" t="s">
        <v>23</v>
      </c>
      <c r="B262" s="66" t="s">
        <v>23</v>
      </c>
      <c r="C262" s="66" t="s">
        <v>30</v>
      </c>
      <c r="D262" s="68">
        <v>0</v>
      </c>
      <c r="E262" s="68">
        <v>4</v>
      </c>
      <c r="F262" s="68">
        <v>0</v>
      </c>
      <c r="G262" s="68">
        <v>9</v>
      </c>
      <c r="H262" s="66" t="s">
        <v>23</v>
      </c>
      <c r="I262" s="66" t="s">
        <v>31</v>
      </c>
      <c r="J262" s="66" t="s">
        <v>24</v>
      </c>
      <c r="K262" s="66" t="s">
        <v>23</v>
      </c>
      <c r="L262" s="66" t="s">
        <v>33</v>
      </c>
      <c r="M262" s="66" t="s">
        <v>178</v>
      </c>
      <c r="N262" s="66" t="s">
        <v>23</v>
      </c>
      <c r="O262" s="66" t="s">
        <v>33</v>
      </c>
      <c r="P262" s="66" t="s">
        <v>34</v>
      </c>
      <c r="Q262" s="66" t="s">
        <v>212</v>
      </c>
      <c r="R262" s="67" t="s">
        <v>221</v>
      </c>
      <c r="S262" s="68" t="s">
        <v>59</v>
      </c>
      <c r="T262" s="69"/>
      <c r="U262" s="69"/>
      <c r="V262" s="69">
        <v>285</v>
      </c>
      <c r="W262" s="69"/>
      <c r="X262" s="69"/>
      <c r="Y262" s="69"/>
      <c r="Z262" s="70">
        <f t="shared" si="64"/>
        <v>285</v>
      </c>
      <c r="AA262" s="68">
        <v>2017</v>
      </c>
      <c r="AB262" s="46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30</v>
      </c>
      <c r="D263" s="68">
        <v>0</v>
      </c>
      <c r="E263" s="68">
        <v>4</v>
      </c>
      <c r="F263" s="68">
        <v>0</v>
      </c>
      <c r="G263" s="68">
        <v>9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33</v>
      </c>
      <c r="M263" s="66" t="s">
        <v>24</v>
      </c>
      <c r="N263" s="66" t="s">
        <v>23</v>
      </c>
      <c r="O263" s="66" t="s">
        <v>32</v>
      </c>
      <c r="P263" s="66" t="s">
        <v>34</v>
      </c>
      <c r="Q263" s="66" t="s">
        <v>179</v>
      </c>
      <c r="R263" s="67" t="s">
        <v>221</v>
      </c>
      <c r="S263" s="68" t="s">
        <v>59</v>
      </c>
      <c r="T263" s="69"/>
      <c r="U263" s="69"/>
      <c r="V263" s="69">
        <v>40</v>
      </c>
      <c r="W263" s="69"/>
      <c r="X263" s="69"/>
      <c r="Y263" s="69"/>
      <c r="Z263" s="70">
        <f t="shared" si="64"/>
        <v>40</v>
      </c>
      <c r="AA263" s="68">
        <v>2017</v>
      </c>
      <c r="AB263" s="46"/>
      <c r="AC263" s="40"/>
      <c r="AD263" s="40"/>
      <c r="AE263" s="41"/>
      <c r="AF263" s="41"/>
    </row>
    <row r="264" spans="1:32" s="61" customFormat="1" ht="45" x14ac:dyDescent="0.25">
      <c r="A264" s="66" t="s">
        <v>23</v>
      </c>
      <c r="B264" s="66" t="s">
        <v>23</v>
      </c>
      <c r="C264" s="66" t="s">
        <v>30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178</v>
      </c>
      <c r="N264" s="66" t="s">
        <v>23</v>
      </c>
      <c r="O264" s="66" t="s">
        <v>33</v>
      </c>
      <c r="P264" s="66" t="s">
        <v>34</v>
      </c>
      <c r="Q264" s="66" t="s">
        <v>213</v>
      </c>
      <c r="R264" s="67" t="s">
        <v>221</v>
      </c>
      <c r="S264" s="68" t="s">
        <v>59</v>
      </c>
      <c r="T264" s="69"/>
      <c r="U264" s="69"/>
      <c r="V264" s="69">
        <v>346.1</v>
      </c>
      <c r="W264" s="69"/>
      <c r="X264" s="69"/>
      <c r="Y264" s="69"/>
      <c r="Z264" s="70">
        <f t="shared" si="64"/>
        <v>346.1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60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17" t="s">
        <v>214</v>
      </c>
      <c r="S265" s="15" t="s">
        <v>60</v>
      </c>
      <c r="T265" s="8"/>
      <c r="U265" s="8"/>
      <c r="V265" s="8">
        <v>0.54</v>
      </c>
      <c r="W265" s="8"/>
      <c r="X265" s="8"/>
      <c r="Y265" s="8"/>
      <c r="Z265" s="5">
        <f t="shared" si="64"/>
        <v>0.54</v>
      </c>
      <c r="AA265" s="15">
        <v>2017</v>
      </c>
      <c r="AB265" s="46"/>
      <c r="AC265" s="40"/>
      <c r="AD265" s="40"/>
      <c r="AE265" s="41"/>
      <c r="AF265" s="41"/>
    </row>
    <row r="266" spans="1:32" s="61" customFormat="1" ht="43.9" customHeight="1" x14ac:dyDescent="0.25">
      <c r="A266" s="66" t="s">
        <v>23</v>
      </c>
      <c r="B266" s="66" t="s">
        <v>23</v>
      </c>
      <c r="C266" s="66" t="s">
        <v>30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23</v>
      </c>
      <c r="M266" s="66" t="s">
        <v>23</v>
      </c>
      <c r="N266" s="66" t="s">
        <v>23</v>
      </c>
      <c r="O266" s="66" t="s">
        <v>23</v>
      </c>
      <c r="P266" s="66" t="s">
        <v>23</v>
      </c>
      <c r="Q266" s="66" t="s">
        <v>23</v>
      </c>
      <c r="R266" s="67" t="s">
        <v>222</v>
      </c>
      <c r="S266" s="68" t="s">
        <v>59</v>
      </c>
      <c r="T266" s="69"/>
      <c r="U266" s="69"/>
      <c r="V266" s="70">
        <f>V267+V268+V269+V270</f>
        <v>991.8</v>
      </c>
      <c r="W266" s="69"/>
      <c r="X266" s="69"/>
      <c r="Y266" s="69"/>
      <c r="Z266" s="70">
        <f>V266</f>
        <v>991.8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45" x14ac:dyDescent="0.25">
      <c r="A267" s="66" t="s">
        <v>23</v>
      </c>
      <c r="B267" s="66" t="s">
        <v>23</v>
      </c>
      <c r="C267" s="66" t="s">
        <v>30</v>
      </c>
      <c r="D267" s="68">
        <v>0</v>
      </c>
      <c r="E267" s="68">
        <v>4</v>
      </c>
      <c r="F267" s="68">
        <v>0</v>
      </c>
      <c r="G267" s="68">
        <v>9</v>
      </c>
      <c r="H267" s="66" t="s">
        <v>23</v>
      </c>
      <c r="I267" s="66" t="s">
        <v>31</v>
      </c>
      <c r="J267" s="66" t="s">
        <v>24</v>
      </c>
      <c r="K267" s="66" t="s">
        <v>23</v>
      </c>
      <c r="L267" s="66" t="s">
        <v>33</v>
      </c>
      <c r="M267" s="66" t="s">
        <v>178</v>
      </c>
      <c r="N267" s="66" t="s">
        <v>23</v>
      </c>
      <c r="O267" s="66" t="s">
        <v>33</v>
      </c>
      <c r="P267" s="66" t="s">
        <v>34</v>
      </c>
      <c r="Q267" s="66" t="s">
        <v>205</v>
      </c>
      <c r="R267" s="67" t="s">
        <v>222</v>
      </c>
      <c r="S267" s="68" t="s">
        <v>59</v>
      </c>
      <c r="T267" s="69"/>
      <c r="U267" s="69"/>
      <c r="V267" s="69">
        <v>247.6</v>
      </c>
      <c r="W267" s="69"/>
      <c r="X267" s="69"/>
      <c r="Y267" s="69"/>
      <c r="Z267" s="70">
        <f t="shared" ref="Z267:Z271" si="65">V267</f>
        <v>247.6</v>
      </c>
      <c r="AA267" s="68">
        <v>2017</v>
      </c>
      <c r="AB267" s="46"/>
      <c r="AC267" s="40"/>
      <c r="AD267" s="40"/>
      <c r="AE267" s="41"/>
      <c r="AF267" s="41"/>
    </row>
    <row r="268" spans="1:32" s="61" customFormat="1" ht="45" x14ac:dyDescent="0.25">
      <c r="A268" s="66" t="s">
        <v>23</v>
      </c>
      <c r="B268" s="66" t="s">
        <v>23</v>
      </c>
      <c r="C268" s="66" t="s">
        <v>30</v>
      </c>
      <c r="D268" s="68">
        <v>0</v>
      </c>
      <c r="E268" s="68">
        <v>4</v>
      </c>
      <c r="F268" s="68">
        <v>0</v>
      </c>
      <c r="G268" s="68">
        <v>9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33</v>
      </c>
      <c r="M268" s="66" t="s">
        <v>178</v>
      </c>
      <c r="N268" s="66" t="s">
        <v>23</v>
      </c>
      <c r="O268" s="66" t="s">
        <v>33</v>
      </c>
      <c r="P268" s="66" t="s">
        <v>34</v>
      </c>
      <c r="Q268" s="66" t="s">
        <v>212</v>
      </c>
      <c r="R268" s="67" t="s">
        <v>222</v>
      </c>
      <c r="S268" s="68" t="s">
        <v>59</v>
      </c>
      <c r="T268" s="69"/>
      <c r="U268" s="69"/>
      <c r="V268" s="69">
        <v>307.5</v>
      </c>
      <c r="W268" s="69"/>
      <c r="X268" s="69"/>
      <c r="Y268" s="69"/>
      <c r="Z268" s="70">
        <f t="shared" si="65"/>
        <v>307.5</v>
      </c>
      <c r="AA268" s="68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30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24</v>
      </c>
      <c r="N269" s="66" t="s">
        <v>23</v>
      </c>
      <c r="O269" s="66" t="s">
        <v>32</v>
      </c>
      <c r="P269" s="66" t="s">
        <v>34</v>
      </c>
      <c r="Q269" s="66" t="s">
        <v>179</v>
      </c>
      <c r="R269" s="67" t="s">
        <v>222</v>
      </c>
      <c r="S269" s="68" t="s">
        <v>59</v>
      </c>
      <c r="T269" s="69"/>
      <c r="U269" s="69"/>
      <c r="V269" s="69">
        <v>40</v>
      </c>
      <c r="W269" s="69"/>
      <c r="X269" s="69"/>
      <c r="Y269" s="69"/>
      <c r="Z269" s="70">
        <f t="shared" si="65"/>
        <v>40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30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178</v>
      </c>
      <c r="N270" s="66" t="s">
        <v>23</v>
      </c>
      <c r="O270" s="66" t="s">
        <v>33</v>
      </c>
      <c r="P270" s="66" t="s">
        <v>34</v>
      </c>
      <c r="Q270" s="66" t="s">
        <v>213</v>
      </c>
      <c r="R270" s="67" t="s">
        <v>222</v>
      </c>
      <c r="S270" s="68" t="s">
        <v>59</v>
      </c>
      <c r="T270" s="69"/>
      <c r="U270" s="69"/>
      <c r="V270" s="69">
        <v>396.7</v>
      </c>
      <c r="W270" s="69"/>
      <c r="X270" s="69"/>
      <c r="Y270" s="69"/>
      <c r="Z270" s="70">
        <f t="shared" si="65"/>
        <v>396.7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60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17" t="s">
        <v>214</v>
      </c>
      <c r="S271" s="15" t="s">
        <v>60</v>
      </c>
      <c r="T271" s="8"/>
      <c r="U271" s="8"/>
      <c r="V271" s="8">
        <v>0.6</v>
      </c>
      <c r="W271" s="8"/>
      <c r="X271" s="8"/>
      <c r="Y271" s="8"/>
      <c r="Z271" s="5">
        <f t="shared" si="65"/>
        <v>0.6</v>
      </c>
      <c r="AA271" s="15">
        <v>2017</v>
      </c>
      <c r="AB271" s="46"/>
      <c r="AC271" s="40"/>
      <c r="AD271" s="40"/>
      <c r="AE271" s="41"/>
      <c r="AF271" s="41"/>
    </row>
    <row r="272" spans="1:32" s="61" customFormat="1" ht="45" x14ac:dyDescent="0.25">
      <c r="A272" s="66" t="s">
        <v>23</v>
      </c>
      <c r="B272" s="66" t="s">
        <v>23</v>
      </c>
      <c r="C272" s="66" t="s">
        <v>30</v>
      </c>
      <c r="D272" s="68">
        <v>0</v>
      </c>
      <c r="E272" s="68">
        <v>4</v>
      </c>
      <c r="F272" s="68">
        <v>0</v>
      </c>
      <c r="G272" s="68">
        <v>9</v>
      </c>
      <c r="H272" s="66" t="s">
        <v>23</v>
      </c>
      <c r="I272" s="66" t="s">
        <v>31</v>
      </c>
      <c r="J272" s="66" t="s">
        <v>24</v>
      </c>
      <c r="K272" s="66" t="s">
        <v>23</v>
      </c>
      <c r="L272" s="66" t="s">
        <v>23</v>
      </c>
      <c r="M272" s="66" t="s">
        <v>23</v>
      </c>
      <c r="N272" s="66" t="s">
        <v>23</v>
      </c>
      <c r="O272" s="66" t="s">
        <v>23</v>
      </c>
      <c r="P272" s="66" t="s">
        <v>23</v>
      </c>
      <c r="Q272" s="66" t="s">
        <v>23</v>
      </c>
      <c r="R272" s="67" t="s">
        <v>223</v>
      </c>
      <c r="S272" s="68" t="s">
        <v>59</v>
      </c>
      <c r="T272" s="69"/>
      <c r="U272" s="69"/>
      <c r="V272" s="70">
        <f>V273+V274+V275+V276</f>
        <v>750.59999999999991</v>
      </c>
      <c r="W272" s="69"/>
      <c r="X272" s="69"/>
      <c r="Y272" s="69"/>
      <c r="Z272" s="70">
        <f>V272</f>
        <v>750.59999999999991</v>
      </c>
      <c r="AA272" s="68">
        <v>2017</v>
      </c>
      <c r="AB272" s="46"/>
      <c r="AC272" s="40"/>
      <c r="AD272" s="40"/>
      <c r="AE272" s="41"/>
      <c r="AF272" s="41"/>
    </row>
    <row r="273" spans="1:32" s="61" customFormat="1" ht="45" x14ac:dyDescent="0.25">
      <c r="A273" s="66" t="s">
        <v>23</v>
      </c>
      <c r="B273" s="66" t="s">
        <v>23</v>
      </c>
      <c r="C273" s="66" t="s">
        <v>30</v>
      </c>
      <c r="D273" s="68">
        <v>0</v>
      </c>
      <c r="E273" s="68">
        <v>4</v>
      </c>
      <c r="F273" s="68">
        <v>0</v>
      </c>
      <c r="G273" s="68">
        <v>9</v>
      </c>
      <c r="H273" s="66" t="s">
        <v>23</v>
      </c>
      <c r="I273" s="66" t="s">
        <v>31</v>
      </c>
      <c r="J273" s="66" t="s">
        <v>24</v>
      </c>
      <c r="K273" s="66" t="s">
        <v>23</v>
      </c>
      <c r="L273" s="66" t="s">
        <v>33</v>
      </c>
      <c r="M273" s="66" t="s">
        <v>178</v>
      </c>
      <c r="N273" s="66" t="s">
        <v>23</v>
      </c>
      <c r="O273" s="66" t="s">
        <v>33</v>
      </c>
      <c r="P273" s="66" t="s">
        <v>34</v>
      </c>
      <c r="Q273" s="66" t="s">
        <v>205</v>
      </c>
      <c r="R273" s="67" t="s">
        <v>223</v>
      </c>
      <c r="S273" s="68" t="s">
        <v>59</v>
      </c>
      <c r="T273" s="69"/>
      <c r="U273" s="69"/>
      <c r="V273" s="69">
        <v>177.7</v>
      </c>
      <c r="W273" s="69"/>
      <c r="X273" s="69"/>
      <c r="Y273" s="69"/>
      <c r="Z273" s="70">
        <f t="shared" ref="Z273:Z277" si="66">V273</f>
        <v>177.7</v>
      </c>
      <c r="AA273" s="68">
        <v>2017</v>
      </c>
      <c r="AB273" s="46"/>
      <c r="AC273" s="40"/>
      <c r="AD273" s="40"/>
      <c r="AE273" s="41"/>
      <c r="AF273" s="41"/>
    </row>
    <row r="274" spans="1:32" s="61" customFormat="1" ht="45" x14ac:dyDescent="0.25">
      <c r="A274" s="66" t="s">
        <v>23</v>
      </c>
      <c r="B274" s="66" t="s">
        <v>23</v>
      </c>
      <c r="C274" s="66" t="s">
        <v>30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33</v>
      </c>
      <c r="M274" s="66" t="s">
        <v>178</v>
      </c>
      <c r="N274" s="66" t="s">
        <v>23</v>
      </c>
      <c r="O274" s="66" t="s">
        <v>33</v>
      </c>
      <c r="P274" s="66" t="s">
        <v>34</v>
      </c>
      <c r="Q274" s="66" t="s">
        <v>212</v>
      </c>
      <c r="R274" s="67" t="s">
        <v>223</v>
      </c>
      <c r="S274" s="68" t="s">
        <v>59</v>
      </c>
      <c r="T274" s="69"/>
      <c r="U274" s="69"/>
      <c r="V274" s="69">
        <v>232.7</v>
      </c>
      <c r="W274" s="69"/>
      <c r="X274" s="69"/>
      <c r="Y274" s="69"/>
      <c r="Z274" s="70">
        <f t="shared" si="66"/>
        <v>232.7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45" x14ac:dyDescent="0.25">
      <c r="A275" s="66" t="s">
        <v>23</v>
      </c>
      <c r="B275" s="66" t="s">
        <v>23</v>
      </c>
      <c r="C275" s="66" t="s">
        <v>30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24</v>
      </c>
      <c r="N275" s="66" t="s">
        <v>23</v>
      </c>
      <c r="O275" s="66" t="s">
        <v>32</v>
      </c>
      <c r="P275" s="66" t="s">
        <v>34</v>
      </c>
      <c r="Q275" s="66" t="s">
        <v>179</v>
      </c>
      <c r="R275" s="67" t="s">
        <v>223</v>
      </c>
      <c r="S275" s="68" t="s">
        <v>59</v>
      </c>
      <c r="T275" s="69"/>
      <c r="U275" s="69"/>
      <c r="V275" s="69">
        <v>40</v>
      </c>
      <c r="W275" s="69"/>
      <c r="X275" s="69"/>
      <c r="Y275" s="69"/>
      <c r="Z275" s="70">
        <f t="shared" si="66"/>
        <v>40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45" x14ac:dyDescent="0.25">
      <c r="A276" s="66" t="s">
        <v>23</v>
      </c>
      <c r="B276" s="66" t="s">
        <v>23</v>
      </c>
      <c r="C276" s="66" t="s">
        <v>30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178</v>
      </c>
      <c r="N276" s="66" t="s">
        <v>23</v>
      </c>
      <c r="O276" s="66" t="s">
        <v>33</v>
      </c>
      <c r="P276" s="66" t="s">
        <v>34</v>
      </c>
      <c r="Q276" s="66" t="s">
        <v>213</v>
      </c>
      <c r="R276" s="67" t="s">
        <v>223</v>
      </c>
      <c r="S276" s="68" t="s">
        <v>59</v>
      </c>
      <c r="T276" s="69"/>
      <c r="U276" s="69"/>
      <c r="V276" s="69">
        <v>300.2</v>
      </c>
      <c r="W276" s="69"/>
      <c r="X276" s="69"/>
      <c r="Y276" s="69"/>
      <c r="Z276" s="70">
        <f t="shared" si="66"/>
        <v>300.2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17" t="s">
        <v>214</v>
      </c>
      <c r="S277" s="15" t="s">
        <v>60</v>
      </c>
      <c r="T277" s="8"/>
      <c r="U277" s="8"/>
      <c r="V277" s="8">
        <v>0.5</v>
      </c>
      <c r="W277" s="8"/>
      <c r="X277" s="8"/>
      <c r="Y277" s="8"/>
      <c r="Z277" s="5">
        <f t="shared" si="66"/>
        <v>0.5</v>
      </c>
      <c r="AA277" s="15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30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23</v>
      </c>
      <c r="M278" s="66" t="s">
        <v>23</v>
      </c>
      <c r="N278" s="66" t="s">
        <v>23</v>
      </c>
      <c r="O278" s="66" t="s">
        <v>23</v>
      </c>
      <c r="P278" s="66" t="s">
        <v>23</v>
      </c>
      <c r="Q278" s="66" t="s">
        <v>23</v>
      </c>
      <c r="R278" s="67" t="s">
        <v>224</v>
      </c>
      <c r="S278" s="68" t="s">
        <v>59</v>
      </c>
      <c r="T278" s="69"/>
      <c r="U278" s="69"/>
      <c r="V278" s="70">
        <f>V279+V280+V281</f>
        <v>473.2</v>
      </c>
      <c r="W278" s="69"/>
      <c r="X278" s="69"/>
      <c r="Y278" s="69"/>
      <c r="Z278" s="70">
        <f>V278</f>
        <v>473.2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45" x14ac:dyDescent="0.25">
      <c r="A279" s="66" t="s">
        <v>23</v>
      </c>
      <c r="B279" s="66" t="s">
        <v>23</v>
      </c>
      <c r="C279" s="66" t="s">
        <v>30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33</v>
      </c>
      <c r="M279" s="66" t="s">
        <v>178</v>
      </c>
      <c r="N279" s="66" t="s">
        <v>23</v>
      </c>
      <c r="O279" s="66" t="s">
        <v>33</v>
      </c>
      <c r="P279" s="66" t="s">
        <v>34</v>
      </c>
      <c r="Q279" s="66" t="s">
        <v>205</v>
      </c>
      <c r="R279" s="67" t="s">
        <v>224</v>
      </c>
      <c r="S279" s="68" t="s">
        <v>59</v>
      </c>
      <c r="T279" s="69"/>
      <c r="U279" s="69"/>
      <c r="V279" s="69">
        <v>178.9</v>
      </c>
      <c r="W279" s="69"/>
      <c r="X279" s="69"/>
      <c r="Y279" s="69"/>
      <c r="Z279" s="70">
        <f t="shared" ref="Z279:Z281" si="67">V279</f>
        <v>178.9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30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178</v>
      </c>
      <c r="N280" s="66" t="s">
        <v>23</v>
      </c>
      <c r="O280" s="66" t="s">
        <v>33</v>
      </c>
      <c r="P280" s="66" t="s">
        <v>34</v>
      </c>
      <c r="Q280" s="66" t="s">
        <v>212</v>
      </c>
      <c r="R280" s="67" t="s">
        <v>224</v>
      </c>
      <c r="S280" s="68" t="s">
        <v>59</v>
      </c>
      <c r="T280" s="69"/>
      <c r="U280" s="69"/>
      <c r="V280" s="69">
        <v>105</v>
      </c>
      <c r="W280" s="69"/>
      <c r="X280" s="69"/>
      <c r="Y280" s="69"/>
      <c r="Z280" s="70">
        <f t="shared" si="67"/>
        <v>105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30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178</v>
      </c>
      <c r="N281" s="66" t="s">
        <v>23</v>
      </c>
      <c r="O281" s="66" t="s">
        <v>33</v>
      </c>
      <c r="P281" s="66" t="s">
        <v>34</v>
      </c>
      <c r="Q281" s="66" t="s">
        <v>213</v>
      </c>
      <c r="R281" s="67" t="s">
        <v>224</v>
      </c>
      <c r="S281" s="68" t="s">
        <v>59</v>
      </c>
      <c r="T281" s="69"/>
      <c r="U281" s="69"/>
      <c r="V281" s="69">
        <v>189.3</v>
      </c>
      <c r="W281" s="69"/>
      <c r="X281" s="69"/>
      <c r="Y281" s="69"/>
      <c r="Z281" s="70">
        <f t="shared" si="67"/>
        <v>189.3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30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17" t="s">
        <v>226</v>
      </c>
      <c r="S282" s="15" t="s">
        <v>12</v>
      </c>
      <c r="T282" s="8"/>
      <c r="U282" s="8"/>
      <c r="V282" s="8">
        <v>176</v>
      </c>
      <c r="W282" s="8"/>
      <c r="X282" s="8"/>
      <c r="Y282" s="8"/>
      <c r="Z282" s="5">
        <f>V282</f>
        <v>176</v>
      </c>
      <c r="AA282" s="15">
        <v>2017</v>
      </c>
      <c r="AB282" s="46"/>
      <c r="AC282" s="40"/>
      <c r="AD282" s="40"/>
      <c r="AE282" s="41"/>
      <c r="AF282" s="41"/>
    </row>
    <row r="283" spans="1:32" s="61" customFormat="1" ht="45" x14ac:dyDescent="0.25">
      <c r="A283" s="66" t="s">
        <v>23</v>
      </c>
      <c r="B283" s="66" t="s">
        <v>23</v>
      </c>
      <c r="C283" s="66" t="s">
        <v>30</v>
      </c>
      <c r="D283" s="68">
        <v>0</v>
      </c>
      <c r="E283" s="68">
        <v>4</v>
      </c>
      <c r="F283" s="68">
        <v>0</v>
      </c>
      <c r="G283" s="68">
        <v>9</v>
      </c>
      <c r="H283" s="66" t="s">
        <v>23</v>
      </c>
      <c r="I283" s="66" t="s">
        <v>31</v>
      </c>
      <c r="J283" s="66" t="s">
        <v>24</v>
      </c>
      <c r="K283" s="66" t="s">
        <v>23</v>
      </c>
      <c r="L283" s="66" t="s">
        <v>23</v>
      </c>
      <c r="M283" s="66" t="s">
        <v>23</v>
      </c>
      <c r="N283" s="66" t="s">
        <v>23</v>
      </c>
      <c r="O283" s="66" t="s">
        <v>23</v>
      </c>
      <c r="P283" s="66" t="s">
        <v>23</v>
      </c>
      <c r="Q283" s="66" t="s">
        <v>23</v>
      </c>
      <c r="R283" s="67" t="s">
        <v>225</v>
      </c>
      <c r="S283" s="68" t="s">
        <v>59</v>
      </c>
      <c r="T283" s="69"/>
      <c r="U283" s="69"/>
      <c r="V283" s="70">
        <f>V284+V285+V286</f>
        <v>994.9</v>
      </c>
      <c r="W283" s="69"/>
      <c r="X283" s="69"/>
      <c r="Y283" s="69"/>
      <c r="Z283" s="70">
        <f>V283</f>
        <v>994.9</v>
      </c>
      <c r="AA283" s="68">
        <v>2017</v>
      </c>
      <c r="AB283" s="46"/>
      <c r="AC283" s="40"/>
      <c r="AD283" s="40"/>
      <c r="AE283" s="41"/>
      <c r="AF283" s="41"/>
    </row>
    <row r="284" spans="1:32" s="61" customFormat="1" ht="45" x14ac:dyDescent="0.25">
      <c r="A284" s="66" t="s">
        <v>23</v>
      </c>
      <c r="B284" s="66" t="s">
        <v>23</v>
      </c>
      <c r="C284" s="66" t="s">
        <v>30</v>
      </c>
      <c r="D284" s="68">
        <v>0</v>
      </c>
      <c r="E284" s="68">
        <v>4</v>
      </c>
      <c r="F284" s="68">
        <v>0</v>
      </c>
      <c r="G284" s="68">
        <v>9</v>
      </c>
      <c r="H284" s="66" t="s">
        <v>23</v>
      </c>
      <c r="I284" s="66" t="s">
        <v>31</v>
      </c>
      <c r="J284" s="66" t="s">
        <v>24</v>
      </c>
      <c r="K284" s="66" t="s">
        <v>23</v>
      </c>
      <c r="L284" s="66" t="s">
        <v>33</v>
      </c>
      <c r="M284" s="66" t="s">
        <v>178</v>
      </c>
      <c r="N284" s="66" t="s">
        <v>23</v>
      </c>
      <c r="O284" s="66" t="s">
        <v>33</v>
      </c>
      <c r="P284" s="66" t="s">
        <v>34</v>
      </c>
      <c r="Q284" s="66" t="s">
        <v>205</v>
      </c>
      <c r="R284" s="67" t="s">
        <v>225</v>
      </c>
      <c r="S284" s="68" t="s">
        <v>59</v>
      </c>
      <c r="T284" s="69"/>
      <c r="U284" s="69"/>
      <c r="V284" s="69">
        <v>447</v>
      </c>
      <c r="W284" s="69"/>
      <c r="X284" s="69"/>
      <c r="Y284" s="69"/>
      <c r="Z284" s="70">
        <f t="shared" ref="Z284:Z286" si="68">V284</f>
        <v>447</v>
      </c>
      <c r="AA284" s="68">
        <v>2017</v>
      </c>
      <c r="AB284" s="46"/>
      <c r="AC284" s="40"/>
      <c r="AD284" s="40"/>
      <c r="AE284" s="41"/>
      <c r="AF284" s="41"/>
    </row>
    <row r="285" spans="1:32" s="61" customFormat="1" ht="45" x14ac:dyDescent="0.25">
      <c r="A285" s="66" t="s">
        <v>23</v>
      </c>
      <c r="B285" s="66" t="s">
        <v>23</v>
      </c>
      <c r="C285" s="66" t="s">
        <v>30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33</v>
      </c>
      <c r="M285" s="66" t="s">
        <v>178</v>
      </c>
      <c r="N285" s="66" t="s">
        <v>23</v>
      </c>
      <c r="O285" s="66" t="s">
        <v>33</v>
      </c>
      <c r="P285" s="66" t="s">
        <v>34</v>
      </c>
      <c r="Q285" s="66" t="s">
        <v>212</v>
      </c>
      <c r="R285" s="67" t="s">
        <v>225</v>
      </c>
      <c r="S285" s="68" t="s">
        <v>59</v>
      </c>
      <c r="T285" s="69"/>
      <c r="U285" s="69"/>
      <c r="V285" s="69">
        <v>150</v>
      </c>
      <c r="W285" s="69"/>
      <c r="X285" s="69"/>
      <c r="Y285" s="69"/>
      <c r="Z285" s="70">
        <f t="shared" si="68"/>
        <v>150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45" x14ac:dyDescent="0.25">
      <c r="A286" s="66" t="s">
        <v>23</v>
      </c>
      <c r="B286" s="66" t="s">
        <v>23</v>
      </c>
      <c r="C286" s="66" t="s">
        <v>30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178</v>
      </c>
      <c r="N286" s="66" t="s">
        <v>23</v>
      </c>
      <c r="O286" s="66" t="s">
        <v>33</v>
      </c>
      <c r="P286" s="66" t="s">
        <v>34</v>
      </c>
      <c r="Q286" s="66" t="s">
        <v>213</v>
      </c>
      <c r="R286" s="67" t="s">
        <v>225</v>
      </c>
      <c r="S286" s="68" t="s">
        <v>59</v>
      </c>
      <c r="T286" s="69"/>
      <c r="U286" s="69"/>
      <c r="V286" s="69">
        <v>397.9</v>
      </c>
      <c r="W286" s="69"/>
      <c r="X286" s="69"/>
      <c r="Y286" s="69"/>
      <c r="Z286" s="70">
        <f t="shared" si="68"/>
        <v>397.9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60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17" t="s">
        <v>214</v>
      </c>
      <c r="S287" s="15" t="s">
        <v>60</v>
      </c>
      <c r="T287" s="8"/>
      <c r="U287" s="8"/>
      <c r="V287" s="8">
        <v>0.6</v>
      </c>
      <c r="W287" s="8"/>
      <c r="X287" s="8"/>
      <c r="Y287" s="8"/>
      <c r="Z287" s="5">
        <f>V287</f>
        <v>0.6</v>
      </c>
      <c r="AA287" s="15">
        <v>2017</v>
      </c>
      <c r="AB287" s="46"/>
      <c r="AC287" s="40"/>
      <c r="AD287" s="40"/>
      <c r="AE287" s="41"/>
      <c r="AF287" s="41"/>
    </row>
    <row r="288" spans="1:32" s="61" customFormat="1" ht="60" x14ac:dyDescent="0.25">
      <c r="A288" s="66" t="s">
        <v>23</v>
      </c>
      <c r="B288" s="66" t="s">
        <v>23</v>
      </c>
      <c r="C288" s="66" t="s">
        <v>35</v>
      </c>
      <c r="D288" s="68">
        <v>0</v>
      </c>
      <c r="E288" s="68">
        <v>4</v>
      </c>
      <c r="F288" s="68">
        <v>0</v>
      </c>
      <c r="G288" s="68">
        <v>9</v>
      </c>
      <c r="H288" s="66" t="s">
        <v>23</v>
      </c>
      <c r="I288" s="66" t="s">
        <v>31</v>
      </c>
      <c r="J288" s="66" t="s">
        <v>24</v>
      </c>
      <c r="K288" s="66" t="s">
        <v>23</v>
      </c>
      <c r="L288" s="66" t="s">
        <v>23</v>
      </c>
      <c r="M288" s="66" t="s">
        <v>23</v>
      </c>
      <c r="N288" s="66" t="s">
        <v>23</v>
      </c>
      <c r="O288" s="66" t="s">
        <v>23</v>
      </c>
      <c r="P288" s="66" t="s">
        <v>23</v>
      </c>
      <c r="Q288" s="66" t="s">
        <v>23</v>
      </c>
      <c r="R288" s="67" t="s">
        <v>227</v>
      </c>
      <c r="S288" s="68" t="s">
        <v>59</v>
      </c>
      <c r="T288" s="69"/>
      <c r="U288" s="69"/>
      <c r="V288" s="70">
        <f>V289+V290+V291</f>
        <v>681.8</v>
      </c>
      <c r="W288" s="69"/>
      <c r="X288" s="69"/>
      <c r="Y288" s="69"/>
      <c r="Z288" s="70">
        <f>V288</f>
        <v>681.8</v>
      </c>
      <c r="AA288" s="68">
        <v>2017</v>
      </c>
      <c r="AB288" s="46"/>
      <c r="AC288" s="40"/>
      <c r="AD288" s="40"/>
      <c r="AE288" s="41"/>
      <c r="AF288" s="41"/>
    </row>
    <row r="289" spans="1:32" s="61" customFormat="1" ht="60" x14ac:dyDescent="0.25">
      <c r="A289" s="66" t="s">
        <v>23</v>
      </c>
      <c r="B289" s="66" t="s">
        <v>23</v>
      </c>
      <c r="C289" s="66" t="s">
        <v>35</v>
      </c>
      <c r="D289" s="68">
        <v>0</v>
      </c>
      <c r="E289" s="68">
        <v>4</v>
      </c>
      <c r="F289" s="68">
        <v>0</v>
      </c>
      <c r="G289" s="68">
        <v>9</v>
      </c>
      <c r="H289" s="66" t="s">
        <v>23</v>
      </c>
      <c r="I289" s="66" t="s">
        <v>31</v>
      </c>
      <c r="J289" s="66" t="s">
        <v>24</v>
      </c>
      <c r="K289" s="66" t="s">
        <v>23</v>
      </c>
      <c r="L289" s="66" t="s">
        <v>33</v>
      </c>
      <c r="M289" s="66" t="s">
        <v>178</v>
      </c>
      <c r="N289" s="66" t="s">
        <v>23</v>
      </c>
      <c r="O289" s="66" t="s">
        <v>33</v>
      </c>
      <c r="P289" s="66" t="s">
        <v>34</v>
      </c>
      <c r="Q289" s="66" t="s">
        <v>205</v>
      </c>
      <c r="R289" s="67" t="s">
        <v>227</v>
      </c>
      <c r="S289" s="68" t="s">
        <v>59</v>
      </c>
      <c r="T289" s="69"/>
      <c r="U289" s="69"/>
      <c r="V289" s="69">
        <v>249.1</v>
      </c>
      <c r="W289" s="69"/>
      <c r="X289" s="69"/>
      <c r="Y289" s="69"/>
      <c r="Z289" s="70">
        <f t="shared" ref="Z289:Z291" si="69">V289</f>
        <v>249.1</v>
      </c>
      <c r="AA289" s="68">
        <v>2017</v>
      </c>
      <c r="AB289" s="46"/>
      <c r="AC289" s="40"/>
      <c r="AD289" s="40"/>
      <c r="AE289" s="41"/>
      <c r="AF289" s="41"/>
    </row>
    <row r="290" spans="1:32" s="61" customFormat="1" ht="60" x14ac:dyDescent="0.25">
      <c r="A290" s="66" t="s">
        <v>23</v>
      </c>
      <c r="B290" s="66" t="s">
        <v>23</v>
      </c>
      <c r="C290" s="66" t="s">
        <v>35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33</v>
      </c>
      <c r="M290" s="66" t="s">
        <v>178</v>
      </c>
      <c r="N290" s="66" t="s">
        <v>23</v>
      </c>
      <c r="O290" s="66" t="s">
        <v>33</v>
      </c>
      <c r="P290" s="66" t="s">
        <v>34</v>
      </c>
      <c r="Q290" s="66" t="s">
        <v>212</v>
      </c>
      <c r="R290" s="67" t="s">
        <v>227</v>
      </c>
      <c r="S290" s="68" t="s">
        <v>59</v>
      </c>
      <c r="T290" s="69"/>
      <c r="U290" s="69"/>
      <c r="V290" s="69">
        <v>160</v>
      </c>
      <c r="W290" s="69"/>
      <c r="X290" s="69"/>
      <c r="Y290" s="69"/>
      <c r="Z290" s="70">
        <f t="shared" si="69"/>
        <v>160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60" x14ac:dyDescent="0.25">
      <c r="A291" s="66" t="s">
        <v>23</v>
      </c>
      <c r="B291" s="66" t="s">
        <v>23</v>
      </c>
      <c r="C291" s="66" t="s">
        <v>35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178</v>
      </c>
      <c r="N291" s="66" t="s">
        <v>23</v>
      </c>
      <c r="O291" s="66" t="s">
        <v>33</v>
      </c>
      <c r="P291" s="66" t="s">
        <v>34</v>
      </c>
      <c r="Q291" s="66" t="s">
        <v>213</v>
      </c>
      <c r="R291" s="67" t="s">
        <v>227</v>
      </c>
      <c r="S291" s="68" t="s">
        <v>59</v>
      </c>
      <c r="T291" s="69"/>
      <c r="U291" s="69"/>
      <c r="V291" s="69">
        <v>272.7</v>
      </c>
      <c r="W291" s="69"/>
      <c r="X291" s="69"/>
      <c r="Y291" s="69"/>
      <c r="Z291" s="70">
        <f t="shared" si="69"/>
        <v>272.7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30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17" t="s">
        <v>229</v>
      </c>
      <c r="S292" s="15" t="s">
        <v>60</v>
      </c>
      <c r="T292" s="8"/>
      <c r="U292" s="8"/>
      <c r="V292" s="8">
        <v>1</v>
      </c>
      <c r="W292" s="8"/>
      <c r="X292" s="8"/>
      <c r="Y292" s="8"/>
      <c r="Z292" s="5">
        <f>V292</f>
        <v>1</v>
      </c>
      <c r="AA292" s="15">
        <v>2017</v>
      </c>
      <c r="AB292" s="46"/>
      <c r="AC292" s="40"/>
      <c r="AD292" s="40"/>
      <c r="AE292" s="41"/>
      <c r="AF292" s="41"/>
    </row>
    <row r="293" spans="1:32" s="61" customFormat="1" ht="60" x14ac:dyDescent="0.25">
      <c r="A293" s="66" t="s">
        <v>23</v>
      </c>
      <c r="B293" s="66" t="s">
        <v>23</v>
      </c>
      <c r="C293" s="66" t="s">
        <v>35</v>
      </c>
      <c r="D293" s="68">
        <v>0</v>
      </c>
      <c r="E293" s="68">
        <v>4</v>
      </c>
      <c r="F293" s="68">
        <v>0</v>
      </c>
      <c r="G293" s="68">
        <v>9</v>
      </c>
      <c r="H293" s="66" t="s">
        <v>23</v>
      </c>
      <c r="I293" s="66" t="s">
        <v>31</v>
      </c>
      <c r="J293" s="66" t="s">
        <v>24</v>
      </c>
      <c r="K293" s="66" t="s">
        <v>23</v>
      </c>
      <c r="L293" s="66" t="s">
        <v>23</v>
      </c>
      <c r="M293" s="66" t="s">
        <v>23</v>
      </c>
      <c r="N293" s="66" t="s">
        <v>23</v>
      </c>
      <c r="O293" s="66" t="s">
        <v>23</v>
      </c>
      <c r="P293" s="66" t="s">
        <v>23</v>
      </c>
      <c r="Q293" s="66" t="s">
        <v>23</v>
      </c>
      <c r="R293" s="67" t="s">
        <v>228</v>
      </c>
      <c r="S293" s="68" t="s">
        <v>59</v>
      </c>
      <c r="T293" s="69"/>
      <c r="U293" s="69"/>
      <c r="V293" s="70">
        <f>V294+V295+V296</f>
        <v>1168.2</v>
      </c>
      <c r="W293" s="69"/>
      <c r="X293" s="69"/>
      <c r="Y293" s="69"/>
      <c r="Z293" s="70">
        <f>V293</f>
        <v>1168.2</v>
      </c>
      <c r="AA293" s="68">
        <v>2017</v>
      </c>
      <c r="AB293" s="46"/>
      <c r="AC293" s="40"/>
      <c r="AD293" s="40"/>
      <c r="AE293" s="41"/>
      <c r="AF293" s="41"/>
    </row>
    <row r="294" spans="1:32" s="61" customFormat="1" ht="60" x14ac:dyDescent="0.25">
      <c r="A294" s="66" t="s">
        <v>23</v>
      </c>
      <c r="B294" s="66" t="s">
        <v>23</v>
      </c>
      <c r="C294" s="66" t="s">
        <v>35</v>
      </c>
      <c r="D294" s="68">
        <v>0</v>
      </c>
      <c r="E294" s="68">
        <v>4</v>
      </c>
      <c r="F294" s="68">
        <v>0</v>
      </c>
      <c r="G294" s="68">
        <v>9</v>
      </c>
      <c r="H294" s="66" t="s">
        <v>23</v>
      </c>
      <c r="I294" s="66" t="s">
        <v>31</v>
      </c>
      <c r="J294" s="66" t="s">
        <v>24</v>
      </c>
      <c r="K294" s="66" t="s">
        <v>23</v>
      </c>
      <c r="L294" s="66" t="s">
        <v>33</v>
      </c>
      <c r="M294" s="66" t="s">
        <v>178</v>
      </c>
      <c r="N294" s="66" t="s">
        <v>23</v>
      </c>
      <c r="O294" s="66" t="s">
        <v>33</v>
      </c>
      <c r="P294" s="66" t="s">
        <v>34</v>
      </c>
      <c r="Q294" s="66" t="s">
        <v>205</v>
      </c>
      <c r="R294" s="67" t="s">
        <v>228</v>
      </c>
      <c r="S294" s="68" t="s">
        <v>59</v>
      </c>
      <c r="T294" s="69"/>
      <c r="U294" s="69"/>
      <c r="V294" s="69">
        <v>500</v>
      </c>
      <c r="W294" s="69"/>
      <c r="X294" s="69"/>
      <c r="Y294" s="69"/>
      <c r="Z294" s="70">
        <f t="shared" ref="Z294:Z296" si="70">V294</f>
        <v>500</v>
      </c>
      <c r="AA294" s="68">
        <v>2017</v>
      </c>
      <c r="AB294" s="46"/>
      <c r="AC294" s="40"/>
      <c r="AD294" s="40"/>
      <c r="AE294" s="41"/>
      <c r="AF294" s="41"/>
    </row>
    <row r="295" spans="1:32" s="61" customFormat="1" ht="60" x14ac:dyDescent="0.25">
      <c r="A295" s="66" t="s">
        <v>23</v>
      </c>
      <c r="B295" s="66" t="s">
        <v>23</v>
      </c>
      <c r="C295" s="66" t="s">
        <v>35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33</v>
      </c>
      <c r="M295" s="66" t="s">
        <v>178</v>
      </c>
      <c r="N295" s="66" t="s">
        <v>23</v>
      </c>
      <c r="O295" s="66" t="s">
        <v>33</v>
      </c>
      <c r="P295" s="66" t="s">
        <v>34</v>
      </c>
      <c r="Q295" s="66" t="s">
        <v>212</v>
      </c>
      <c r="R295" s="67" t="s">
        <v>228</v>
      </c>
      <c r="S295" s="68" t="s">
        <v>59</v>
      </c>
      <c r="T295" s="69"/>
      <c r="U295" s="69"/>
      <c r="V295" s="69">
        <v>268.2</v>
      </c>
      <c r="W295" s="69"/>
      <c r="X295" s="69"/>
      <c r="Y295" s="69"/>
      <c r="Z295" s="70">
        <f t="shared" si="70"/>
        <v>268.2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60" x14ac:dyDescent="0.25">
      <c r="A296" s="66" t="s">
        <v>23</v>
      </c>
      <c r="B296" s="66" t="s">
        <v>23</v>
      </c>
      <c r="C296" s="66" t="s">
        <v>35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178</v>
      </c>
      <c r="N296" s="66" t="s">
        <v>23</v>
      </c>
      <c r="O296" s="66" t="s">
        <v>33</v>
      </c>
      <c r="P296" s="66" t="s">
        <v>34</v>
      </c>
      <c r="Q296" s="66" t="s">
        <v>213</v>
      </c>
      <c r="R296" s="67" t="s">
        <v>228</v>
      </c>
      <c r="S296" s="68" t="s">
        <v>59</v>
      </c>
      <c r="T296" s="69"/>
      <c r="U296" s="69"/>
      <c r="V296" s="69">
        <v>400</v>
      </c>
      <c r="W296" s="69"/>
      <c r="X296" s="69"/>
      <c r="Y296" s="69"/>
      <c r="Z296" s="70">
        <f t="shared" si="70"/>
        <v>400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30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17" t="s">
        <v>229</v>
      </c>
      <c r="S297" s="15" t="s">
        <v>60</v>
      </c>
      <c r="T297" s="8"/>
      <c r="U297" s="8"/>
      <c r="V297" s="8">
        <v>1</v>
      </c>
      <c r="W297" s="8"/>
      <c r="X297" s="8"/>
      <c r="Y297" s="8"/>
      <c r="Z297" s="5">
        <f>V297</f>
        <v>1</v>
      </c>
      <c r="AA297" s="15">
        <v>2017</v>
      </c>
      <c r="AB297" s="46"/>
      <c r="AC297" s="40"/>
      <c r="AD297" s="40"/>
      <c r="AE297" s="41"/>
      <c r="AF297" s="41"/>
    </row>
    <row r="298" spans="1:32" ht="31.9" customHeight="1" x14ac:dyDescent="0.25">
      <c r="A298" s="57" t="s">
        <v>23</v>
      </c>
      <c r="B298" s="57" t="s">
        <v>23</v>
      </c>
      <c r="C298" s="57" t="s">
        <v>23</v>
      </c>
      <c r="D298" s="57" t="s">
        <v>23</v>
      </c>
      <c r="E298" s="57" t="s">
        <v>33</v>
      </c>
      <c r="F298" s="57" t="s">
        <v>23</v>
      </c>
      <c r="G298" s="57" t="s">
        <v>31</v>
      </c>
      <c r="H298" s="57" t="s">
        <v>23</v>
      </c>
      <c r="I298" s="57" t="s">
        <v>31</v>
      </c>
      <c r="J298" s="57" t="s">
        <v>25</v>
      </c>
      <c r="K298" s="57" t="s">
        <v>23</v>
      </c>
      <c r="L298" s="57" t="s">
        <v>23</v>
      </c>
      <c r="M298" s="57" t="s">
        <v>23</v>
      </c>
      <c r="N298" s="57" t="s">
        <v>23</v>
      </c>
      <c r="O298" s="57" t="s">
        <v>23</v>
      </c>
      <c r="P298" s="57" t="s">
        <v>23</v>
      </c>
      <c r="Q298" s="57" t="s">
        <v>23</v>
      </c>
      <c r="R298" s="58" t="s">
        <v>138</v>
      </c>
      <c r="S298" s="7" t="s">
        <v>59</v>
      </c>
      <c r="T298" s="3">
        <f t="shared" ref="T298:Z298" si="71">T299</f>
        <v>613664.9</v>
      </c>
      <c r="U298" s="3">
        <f t="shared" si="71"/>
        <v>343332.7</v>
      </c>
      <c r="V298" s="3">
        <f t="shared" si="71"/>
        <v>306890.5</v>
      </c>
      <c r="W298" s="3">
        <f t="shared" si="71"/>
        <v>171778.1</v>
      </c>
      <c r="X298" s="3">
        <f t="shared" si="71"/>
        <v>144171.79999999999</v>
      </c>
      <c r="Y298" s="3">
        <f t="shared" si="71"/>
        <v>160631.79999999999</v>
      </c>
      <c r="Z298" s="3">
        <f t="shared" si="71"/>
        <v>1740469.7999999998</v>
      </c>
      <c r="AA298" s="7">
        <v>2020</v>
      </c>
    </row>
    <row r="299" spans="1:32" ht="42.75" x14ac:dyDescent="0.25">
      <c r="A299" s="20">
        <v>0</v>
      </c>
      <c r="B299" s="20">
        <v>0</v>
      </c>
      <c r="C299" s="20">
        <v>0</v>
      </c>
      <c r="D299" s="20">
        <v>0</v>
      </c>
      <c r="E299" s="20">
        <v>4</v>
      </c>
      <c r="F299" s="20">
        <v>0</v>
      </c>
      <c r="G299" s="20">
        <v>8</v>
      </c>
      <c r="H299" s="20">
        <v>0</v>
      </c>
      <c r="I299" s="59" t="s">
        <v>31</v>
      </c>
      <c r="J299" s="59" t="s">
        <v>25</v>
      </c>
      <c r="K299" s="59" t="s">
        <v>23</v>
      </c>
      <c r="L299" s="59" t="s">
        <v>24</v>
      </c>
      <c r="M299" s="59" t="s">
        <v>23</v>
      </c>
      <c r="N299" s="59" t="s">
        <v>23</v>
      </c>
      <c r="O299" s="59" t="s">
        <v>23</v>
      </c>
      <c r="P299" s="59" t="s">
        <v>23</v>
      </c>
      <c r="Q299" s="59" t="s">
        <v>23</v>
      </c>
      <c r="R299" s="60" t="s">
        <v>29</v>
      </c>
      <c r="S299" s="28" t="s">
        <v>59</v>
      </c>
      <c r="T299" s="16">
        <f>T302+T304+T306+T326+T334</f>
        <v>613664.9</v>
      </c>
      <c r="U299" s="16">
        <f>U302+U304+U306+U326+U334+U340</f>
        <v>343332.7</v>
      </c>
      <c r="V299" s="16">
        <f>V302+V304+V306+V326+V335+V340</f>
        <v>306890.5</v>
      </c>
      <c r="W299" s="16">
        <f t="shared" ref="W299:Y299" si="72">W302+W304+W306+W327+W335+W340</f>
        <v>171778.1</v>
      </c>
      <c r="X299" s="16">
        <f t="shared" si="72"/>
        <v>144171.79999999999</v>
      </c>
      <c r="Y299" s="16">
        <f t="shared" si="72"/>
        <v>160631.79999999999</v>
      </c>
      <c r="Z299" s="16">
        <f>Z302+Z304+Z306+Z326+Z334+Z340</f>
        <v>1740469.7999999998</v>
      </c>
      <c r="AA299" s="28">
        <v>2020</v>
      </c>
    </row>
    <row r="300" spans="1:32" s="22" customFormat="1" ht="45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7" t="s">
        <v>139</v>
      </c>
      <c r="S300" s="15" t="s">
        <v>61</v>
      </c>
      <c r="T300" s="8">
        <v>32718</v>
      </c>
      <c r="U300" s="8">
        <v>19505</v>
      </c>
      <c r="V300" s="8">
        <v>21910.6</v>
      </c>
      <c r="W300" s="8">
        <v>26453.200000000001</v>
      </c>
      <c r="X300" s="8">
        <v>26453.200000000001</v>
      </c>
      <c r="Y300" s="8">
        <v>26453.200000000001</v>
      </c>
      <c r="Z300" s="5">
        <f>T300+U300+V300+W300+X300+Y300</f>
        <v>153493.20000000001</v>
      </c>
      <c r="AA300" s="15">
        <v>2020</v>
      </c>
      <c r="AB300" s="46"/>
      <c r="AC300" s="46"/>
      <c r="AD300" s="46"/>
      <c r="AE300" s="1"/>
      <c r="AF300" s="1"/>
    </row>
    <row r="301" spans="1:32" s="22" customFormat="1" ht="30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7" t="s">
        <v>173</v>
      </c>
      <c r="S301" s="15" t="s">
        <v>54</v>
      </c>
      <c r="T301" s="21">
        <f>T314+T315+T316+T330</f>
        <v>10</v>
      </c>
      <c r="U301" s="21">
        <f>U314+U315+U316+U330</f>
        <v>3</v>
      </c>
      <c r="V301" s="21"/>
      <c r="W301" s="21">
        <f>W332</f>
        <v>25</v>
      </c>
      <c r="X301" s="21"/>
      <c r="Y301" s="21"/>
      <c r="Z301" s="6">
        <f>Z314+Z315+Z316+Z330+Z332</f>
        <v>38</v>
      </c>
      <c r="AA301" s="15">
        <v>2018</v>
      </c>
      <c r="AB301" s="46"/>
      <c r="AC301" s="46"/>
      <c r="AD301" s="46"/>
      <c r="AE301" s="1"/>
      <c r="AF301" s="1"/>
    </row>
    <row r="302" spans="1:32" ht="45" x14ac:dyDescent="0.25">
      <c r="A302" s="68">
        <v>0</v>
      </c>
      <c r="B302" s="68">
        <v>1</v>
      </c>
      <c r="C302" s="68">
        <v>2</v>
      </c>
      <c r="D302" s="68">
        <v>0</v>
      </c>
      <c r="E302" s="68">
        <v>4</v>
      </c>
      <c r="F302" s="68">
        <v>0</v>
      </c>
      <c r="G302" s="68">
        <v>8</v>
      </c>
      <c r="H302" s="68">
        <v>0</v>
      </c>
      <c r="I302" s="68">
        <v>8</v>
      </c>
      <c r="J302" s="66" t="s">
        <v>25</v>
      </c>
      <c r="K302" s="66" t="s">
        <v>23</v>
      </c>
      <c r="L302" s="66" t="s">
        <v>24</v>
      </c>
      <c r="M302" s="66" t="s">
        <v>23</v>
      </c>
      <c r="N302" s="66" t="s">
        <v>23</v>
      </c>
      <c r="O302" s="66"/>
      <c r="P302" s="66"/>
      <c r="Q302" s="66"/>
      <c r="R302" s="67" t="s">
        <v>140</v>
      </c>
      <c r="S302" s="68" t="s">
        <v>59</v>
      </c>
      <c r="T302" s="69">
        <f>58149+62051+8731</f>
        <v>128931</v>
      </c>
      <c r="U302" s="69"/>
      <c r="V302" s="69"/>
      <c r="W302" s="69"/>
      <c r="X302" s="69"/>
      <c r="Y302" s="69"/>
      <c r="Z302" s="70">
        <f>T302+U302+V302+W302+X302+Y302</f>
        <v>128931</v>
      </c>
      <c r="AA302" s="68">
        <v>2015</v>
      </c>
    </row>
    <row r="303" spans="1:32" ht="30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17" t="s">
        <v>141</v>
      </c>
      <c r="S303" s="15" t="s">
        <v>10</v>
      </c>
      <c r="T303" s="21">
        <v>100</v>
      </c>
      <c r="U303" s="21"/>
      <c r="V303" s="21"/>
      <c r="W303" s="21"/>
      <c r="X303" s="21"/>
      <c r="Y303" s="21"/>
      <c r="Z303" s="6">
        <v>100</v>
      </c>
      <c r="AA303" s="15">
        <v>2015</v>
      </c>
    </row>
    <row r="304" spans="1:32" s="22" customFormat="1" ht="59.25" x14ac:dyDescent="0.25">
      <c r="A304" s="68">
        <v>0</v>
      </c>
      <c r="B304" s="68">
        <v>1</v>
      </c>
      <c r="C304" s="68">
        <v>2</v>
      </c>
      <c r="D304" s="68">
        <v>0</v>
      </c>
      <c r="E304" s="68">
        <v>4</v>
      </c>
      <c r="F304" s="68">
        <v>0</v>
      </c>
      <c r="G304" s="68">
        <v>8</v>
      </c>
      <c r="H304" s="68">
        <v>0</v>
      </c>
      <c r="I304" s="68">
        <v>8</v>
      </c>
      <c r="J304" s="66" t="s">
        <v>25</v>
      </c>
      <c r="K304" s="66" t="s">
        <v>23</v>
      </c>
      <c r="L304" s="66" t="s">
        <v>24</v>
      </c>
      <c r="M304" s="66" t="s">
        <v>23</v>
      </c>
      <c r="N304" s="66" t="s">
        <v>23</v>
      </c>
      <c r="O304" s="66"/>
      <c r="P304" s="66"/>
      <c r="Q304" s="66"/>
      <c r="R304" s="67" t="s">
        <v>142</v>
      </c>
      <c r="S304" s="68" t="s">
        <v>59</v>
      </c>
      <c r="T304" s="69">
        <f>10000+29791+34000+21269</f>
        <v>95060</v>
      </c>
      <c r="U304" s="69"/>
      <c r="V304" s="69"/>
      <c r="W304" s="69"/>
      <c r="X304" s="69"/>
      <c r="Y304" s="69"/>
      <c r="Z304" s="70">
        <f>T304+U304+V304+W304+X304+Y304</f>
        <v>95060</v>
      </c>
      <c r="AA304" s="68">
        <v>2015</v>
      </c>
      <c r="AB304" s="46"/>
      <c r="AC304" s="46"/>
      <c r="AD304" s="46"/>
      <c r="AE304" s="1"/>
      <c r="AF304" s="1"/>
    </row>
    <row r="305" spans="1:27" ht="30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17" t="s">
        <v>143</v>
      </c>
      <c r="S305" s="15" t="s">
        <v>10</v>
      </c>
      <c r="T305" s="21">
        <v>100</v>
      </c>
      <c r="U305" s="21"/>
      <c r="V305" s="21"/>
      <c r="W305" s="21"/>
      <c r="X305" s="21"/>
      <c r="Y305" s="21"/>
      <c r="Z305" s="6">
        <v>100</v>
      </c>
      <c r="AA305" s="15">
        <v>2015</v>
      </c>
    </row>
    <row r="306" spans="1:27" ht="30" x14ac:dyDescent="0.25">
      <c r="A306" s="66"/>
      <c r="B306" s="66"/>
      <c r="C306" s="66"/>
      <c r="D306" s="66" t="s">
        <v>23</v>
      </c>
      <c r="E306" s="66" t="s">
        <v>33</v>
      </c>
      <c r="F306" s="66" t="s">
        <v>23</v>
      </c>
      <c r="G306" s="66" t="s">
        <v>31</v>
      </c>
      <c r="H306" s="66" t="s">
        <v>23</v>
      </c>
      <c r="I306" s="66" t="s">
        <v>31</v>
      </c>
      <c r="J306" s="66" t="s">
        <v>25</v>
      </c>
      <c r="K306" s="66" t="s">
        <v>23</v>
      </c>
      <c r="L306" s="66" t="s">
        <v>23</v>
      </c>
      <c r="M306" s="66" t="s">
        <v>23</v>
      </c>
      <c r="N306" s="66" t="s">
        <v>23</v>
      </c>
      <c r="O306" s="66" t="s">
        <v>23</v>
      </c>
      <c r="P306" s="66" t="s">
        <v>23</v>
      </c>
      <c r="Q306" s="66" t="s">
        <v>23</v>
      </c>
      <c r="R306" s="67" t="s">
        <v>50</v>
      </c>
      <c r="S306" s="68" t="s">
        <v>59</v>
      </c>
      <c r="T306" s="70">
        <f>T307+T308+T309+T310</f>
        <v>239550</v>
      </c>
      <c r="U306" s="70">
        <f>U311+U312+U313</f>
        <v>4377.1000000000004</v>
      </c>
      <c r="V306" s="70"/>
      <c r="W306" s="70"/>
      <c r="X306" s="70"/>
      <c r="Y306" s="70"/>
      <c r="Z306" s="70">
        <f t="shared" ref="Z306:Z316" si="73">T306+U306+V306+W306+X306+Y306</f>
        <v>243927.1</v>
      </c>
      <c r="AA306" s="68">
        <v>2016</v>
      </c>
    </row>
    <row r="307" spans="1:27" ht="30" x14ac:dyDescent="0.25">
      <c r="A307" s="66" t="s">
        <v>23</v>
      </c>
      <c r="B307" s="66" t="s">
        <v>24</v>
      </c>
      <c r="C307" s="66" t="s">
        <v>25</v>
      </c>
      <c r="D307" s="66" t="s">
        <v>23</v>
      </c>
      <c r="E307" s="66" t="s">
        <v>33</v>
      </c>
      <c r="F307" s="66" t="s">
        <v>23</v>
      </c>
      <c r="G307" s="66" t="s">
        <v>31</v>
      </c>
      <c r="H307" s="66" t="s">
        <v>23</v>
      </c>
      <c r="I307" s="66" t="s">
        <v>31</v>
      </c>
      <c r="J307" s="66" t="s">
        <v>25</v>
      </c>
      <c r="K307" s="66" t="s">
        <v>23</v>
      </c>
      <c r="L307" s="66" t="s">
        <v>24</v>
      </c>
      <c r="M307" s="66" t="s">
        <v>23</v>
      </c>
      <c r="N307" s="66" t="s">
        <v>24</v>
      </c>
      <c r="O307" s="66"/>
      <c r="P307" s="66"/>
      <c r="Q307" s="66"/>
      <c r="R307" s="67" t="s">
        <v>50</v>
      </c>
      <c r="S307" s="68" t="s">
        <v>59</v>
      </c>
      <c r="T307" s="69">
        <f>90000+2250</f>
        <v>92250</v>
      </c>
      <c r="U307" s="69"/>
      <c r="V307" s="69"/>
      <c r="W307" s="69"/>
      <c r="X307" s="69"/>
      <c r="Y307" s="69"/>
      <c r="Z307" s="70">
        <f t="shared" si="73"/>
        <v>92250</v>
      </c>
      <c r="AA307" s="68">
        <v>2015</v>
      </c>
    </row>
    <row r="308" spans="1:27" ht="30" x14ac:dyDescent="0.25">
      <c r="A308" s="66" t="s">
        <v>23</v>
      </c>
      <c r="B308" s="66" t="s">
        <v>24</v>
      </c>
      <c r="C308" s="66" t="s">
        <v>25</v>
      </c>
      <c r="D308" s="66" t="s">
        <v>23</v>
      </c>
      <c r="E308" s="66" t="s">
        <v>33</v>
      </c>
      <c r="F308" s="66" t="s">
        <v>23</v>
      </c>
      <c r="G308" s="66" t="s">
        <v>31</v>
      </c>
      <c r="H308" s="66" t="s">
        <v>23</v>
      </c>
      <c r="I308" s="66" t="s">
        <v>31</v>
      </c>
      <c r="J308" s="66" t="s">
        <v>25</v>
      </c>
      <c r="K308" s="66" t="s">
        <v>39</v>
      </c>
      <c r="L308" s="66" t="s">
        <v>35</v>
      </c>
      <c r="M308" s="66" t="s">
        <v>34</v>
      </c>
      <c r="N308" s="66" t="s">
        <v>25</v>
      </c>
      <c r="O308" s="66"/>
      <c r="P308" s="66"/>
      <c r="Q308" s="66"/>
      <c r="R308" s="67" t="s">
        <v>50</v>
      </c>
      <c r="S308" s="68" t="s">
        <v>59</v>
      </c>
      <c r="T308" s="69">
        <f>60000+74550</f>
        <v>134550</v>
      </c>
      <c r="U308" s="69"/>
      <c r="V308" s="69"/>
      <c r="W308" s="69"/>
      <c r="X308" s="69"/>
      <c r="Y308" s="69"/>
      <c r="Z308" s="70">
        <f t="shared" si="73"/>
        <v>134550</v>
      </c>
      <c r="AA308" s="68">
        <v>2015</v>
      </c>
    </row>
    <row r="309" spans="1:27" ht="30" x14ac:dyDescent="0.25">
      <c r="A309" s="66" t="s">
        <v>23</v>
      </c>
      <c r="B309" s="66" t="s">
        <v>24</v>
      </c>
      <c r="C309" s="66" t="s">
        <v>25</v>
      </c>
      <c r="D309" s="66" t="s">
        <v>23</v>
      </c>
      <c r="E309" s="66" t="s">
        <v>33</v>
      </c>
      <c r="F309" s="66" t="s">
        <v>23</v>
      </c>
      <c r="G309" s="66" t="s">
        <v>31</v>
      </c>
      <c r="H309" s="66" t="s">
        <v>23</v>
      </c>
      <c r="I309" s="66" t="s">
        <v>31</v>
      </c>
      <c r="J309" s="66" t="s">
        <v>25</v>
      </c>
      <c r="K309" s="66" t="s">
        <v>30</v>
      </c>
      <c r="L309" s="66" t="s">
        <v>23</v>
      </c>
      <c r="M309" s="66" t="s">
        <v>25</v>
      </c>
      <c r="N309" s="66" t="s">
        <v>39</v>
      </c>
      <c r="O309" s="66"/>
      <c r="P309" s="66"/>
      <c r="Q309" s="66"/>
      <c r="R309" s="67" t="s">
        <v>50</v>
      </c>
      <c r="S309" s="68" t="s">
        <v>59</v>
      </c>
      <c r="T309" s="69">
        <v>10500</v>
      </c>
      <c r="U309" s="69"/>
      <c r="V309" s="69"/>
      <c r="W309" s="69"/>
      <c r="X309" s="69"/>
      <c r="Y309" s="69"/>
      <c r="Z309" s="70">
        <f>T309+U309+V309+W309+X309+Y309</f>
        <v>10500</v>
      </c>
      <c r="AA309" s="68">
        <v>2015</v>
      </c>
    </row>
    <row r="310" spans="1:27" ht="30" x14ac:dyDescent="0.25">
      <c r="A310" s="66" t="s">
        <v>23</v>
      </c>
      <c r="B310" s="66" t="s">
        <v>24</v>
      </c>
      <c r="C310" s="66" t="s">
        <v>25</v>
      </c>
      <c r="D310" s="66" t="s">
        <v>23</v>
      </c>
      <c r="E310" s="66" t="s">
        <v>33</v>
      </c>
      <c r="F310" s="66" t="s">
        <v>23</v>
      </c>
      <c r="G310" s="66" t="s">
        <v>31</v>
      </c>
      <c r="H310" s="66" t="s">
        <v>23</v>
      </c>
      <c r="I310" s="66" t="s">
        <v>31</v>
      </c>
      <c r="J310" s="66" t="s">
        <v>25</v>
      </c>
      <c r="K310" s="66" t="s">
        <v>39</v>
      </c>
      <c r="L310" s="66" t="s">
        <v>33</v>
      </c>
      <c r="M310" s="66" t="s">
        <v>35</v>
      </c>
      <c r="N310" s="66" t="s">
        <v>25</v>
      </c>
      <c r="O310" s="66"/>
      <c r="P310" s="66"/>
      <c r="Q310" s="66"/>
      <c r="R310" s="67" t="s">
        <v>50</v>
      </c>
      <c r="S310" s="68" t="s">
        <v>59</v>
      </c>
      <c r="T310" s="69">
        <v>2250</v>
      </c>
      <c r="U310" s="69"/>
      <c r="V310" s="69"/>
      <c r="W310" s="69"/>
      <c r="X310" s="69"/>
      <c r="Y310" s="69"/>
      <c r="Z310" s="70">
        <f>T310+U310+V310+W310+X310+Y310</f>
        <v>2250</v>
      </c>
      <c r="AA310" s="68">
        <v>2015</v>
      </c>
    </row>
    <row r="311" spans="1:27" ht="30" x14ac:dyDescent="0.25">
      <c r="A311" s="66" t="s">
        <v>23</v>
      </c>
      <c r="B311" s="66" t="s">
        <v>24</v>
      </c>
      <c r="C311" s="66" t="s">
        <v>31</v>
      </c>
      <c r="D311" s="66" t="s">
        <v>23</v>
      </c>
      <c r="E311" s="66" t="s">
        <v>33</v>
      </c>
      <c r="F311" s="66" t="s">
        <v>23</v>
      </c>
      <c r="G311" s="66" t="s">
        <v>31</v>
      </c>
      <c r="H311" s="66" t="s">
        <v>23</v>
      </c>
      <c r="I311" s="66" t="s">
        <v>31</v>
      </c>
      <c r="J311" s="66" t="s">
        <v>25</v>
      </c>
      <c r="K311" s="66" t="s">
        <v>23</v>
      </c>
      <c r="L311" s="66" t="s">
        <v>24</v>
      </c>
      <c r="M311" s="66" t="s">
        <v>30</v>
      </c>
      <c r="N311" s="66" t="s">
        <v>23</v>
      </c>
      <c r="O311" s="66" t="s">
        <v>25</v>
      </c>
      <c r="P311" s="66" t="s">
        <v>39</v>
      </c>
      <c r="Q311" s="66" t="s">
        <v>206</v>
      </c>
      <c r="R311" s="67" t="s">
        <v>50</v>
      </c>
      <c r="S311" s="68" t="s">
        <v>59</v>
      </c>
      <c r="T311" s="69"/>
      <c r="U311" s="69">
        <v>3063.9</v>
      </c>
      <c r="V311" s="69"/>
      <c r="W311" s="69"/>
      <c r="X311" s="69"/>
      <c r="Y311" s="69"/>
      <c r="Z311" s="70">
        <f t="shared" ref="Z311:Z312" si="74">T311+U311+V311+W311+X311+Y311</f>
        <v>3063.9</v>
      </c>
      <c r="AA311" s="68">
        <v>2016</v>
      </c>
    </row>
    <row r="312" spans="1:27" ht="30" x14ac:dyDescent="0.25">
      <c r="A312" s="66" t="s">
        <v>23</v>
      </c>
      <c r="B312" s="66" t="s">
        <v>24</v>
      </c>
      <c r="C312" s="66" t="s">
        <v>31</v>
      </c>
      <c r="D312" s="66" t="s">
        <v>23</v>
      </c>
      <c r="E312" s="66" t="s">
        <v>33</v>
      </c>
      <c r="F312" s="66" t="s">
        <v>23</v>
      </c>
      <c r="G312" s="66" t="s">
        <v>31</v>
      </c>
      <c r="H312" s="66" t="s">
        <v>23</v>
      </c>
      <c r="I312" s="66" t="s">
        <v>31</v>
      </c>
      <c r="J312" s="66" t="s">
        <v>25</v>
      </c>
      <c r="K312" s="66" t="s">
        <v>23</v>
      </c>
      <c r="L312" s="66" t="s">
        <v>24</v>
      </c>
      <c r="M312" s="66" t="s">
        <v>207</v>
      </c>
      <c r="N312" s="66" t="s">
        <v>23</v>
      </c>
      <c r="O312" s="66" t="s">
        <v>25</v>
      </c>
      <c r="P312" s="66" t="s">
        <v>39</v>
      </c>
      <c r="Q312" s="66" t="s">
        <v>206</v>
      </c>
      <c r="R312" s="67" t="s">
        <v>50</v>
      </c>
      <c r="S312" s="68" t="s">
        <v>59</v>
      </c>
      <c r="T312" s="69"/>
      <c r="U312" s="69">
        <v>656.6</v>
      </c>
      <c r="V312" s="69"/>
      <c r="W312" s="69"/>
      <c r="X312" s="69"/>
      <c r="Y312" s="69"/>
      <c r="Z312" s="70">
        <f t="shared" si="74"/>
        <v>656.6</v>
      </c>
      <c r="AA312" s="68">
        <v>2016</v>
      </c>
    </row>
    <row r="313" spans="1:27" ht="30" x14ac:dyDescent="0.25">
      <c r="A313" s="66" t="s">
        <v>23</v>
      </c>
      <c r="B313" s="66" t="s">
        <v>24</v>
      </c>
      <c r="C313" s="66" t="s">
        <v>31</v>
      </c>
      <c r="D313" s="66" t="s">
        <v>23</v>
      </c>
      <c r="E313" s="66" t="s">
        <v>33</v>
      </c>
      <c r="F313" s="66" t="s">
        <v>23</v>
      </c>
      <c r="G313" s="66" t="s">
        <v>31</v>
      </c>
      <c r="H313" s="66" t="s">
        <v>23</v>
      </c>
      <c r="I313" s="66" t="s">
        <v>31</v>
      </c>
      <c r="J313" s="66" t="s">
        <v>25</v>
      </c>
      <c r="K313" s="66" t="s">
        <v>23</v>
      </c>
      <c r="L313" s="66" t="s">
        <v>24</v>
      </c>
      <c r="M313" s="66" t="s">
        <v>23</v>
      </c>
      <c r="N313" s="66" t="s">
        <v>23</v>
      </c>
      <c r="O313" s="66" t="s">
        <v>23</v>
      </c>
      <c r="P313" s="66" t="s">
        <v>23</v>
      </c>
      <c r="Q313" s="66" t="s">
        <v>24</v>
      </c>
      <c r="R313" s="67" t="s">
        <v>50</v>
      </c>
      <c r="S313" s="68" t="s">
        <v>59</v>
      </c>
      <c r="T313" s="69"/>
      <c r="U313" s="69">
        <v>656.6</v>
      </c>
      <c r="V313" s="69"/>
      <c r="W313" s="69"/>
      <c r="X313" s="69"/>
      <c r="Y313" s="69"/>
      <c r="Z313" s="70">
        <f>T313+U313+V313+W313+X313+Y313</f>
        <v>656.6</v>
      </c>
      <c r="AA313" s="68">
        <v>2016</v>
      </c>
    </row>
    <row r="314" spans="1:27" ht="30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7" t="s">
        <v>51</v>
      </c>
      <c r="S314" s="15" t="s">
        <v>54</v>
      </c>
      <c r="T314" s="18">
        <v>2</v>
      </c>
      <c r="U314" s="18"/>
      <c r="V314" s="18"/>
      <c r="W314" s="18"/>
      <c r="X314" s="18"/>
      <c r="Y314" s="18"/>
      <c r="Z314" s="6">
        <f t="shared" si="73"/>
        <v>2</v>
      </c>
      <c r="AA314" s="15">
        <v>2015</v>
      </c>
    </row>
    <row r="315" spans="1:27" ht="30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7" t="s">
        <v>52</v>
      </c>
      <c r="S315" s="15" t="s">
        <v>54</v>
      </c>
      <c r="T315" s="18"/>
      <c r="U315" s="18">
        <v>3</v>
      </c>
      <c r="V315" s="18"/>
      <c r="W315" s="18"/>
      <c r="X315" s="18"/>
      <c r="Y315" s="18"/>
      <c r="Z315" s="6">
        <f t="shared" si="73"/>
        <v>3</v>
      </c>
      <c r="AA315" s="15">
        <v>2016</v>
      </c>
    </row>
    <row r="316" spans="1:27" ht="30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7" t="s">
        <v>70</v>
      </c>
      <c r="S316" s="15" t="s">
        <v>54</v>
      </c>
      <c r="T316" s="18">
        <v>5</v>
      </c>
      <c r="U316" s="18"/>
      <c r="V316" s="18"/>
      <c r="W316" s="18"/>
      <c r="X316" s="18"/>
      <c r="Y316" s="18"/>
      <c r="Z316" s="6">
        <f t="shared" si="73"/>
        <v>5</v>
      </c>
      <c r="AA316" s="15">
        <v>2015</v>
      </c>
    </row>
    <row r="317" spans="1:27" ht="44.25" x14ac:dyDescent="0.25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7" t="s">
        <v>144</v>
      </c>
      <c r="S317" s="68" t="s">
        <v>45</v>
      </c>
      <c r="T317" s="72">
        <v>1</v>
      </c>
      <c r="U317" s="72">
        <v>1</v>
      </c>
      <c r="V317" s="72">
        <v>1</v>
      </c>
      <c r="W317" s="72">
        <v>1</v>
      </c>
      <c r="X317" s="72">
        <v>1</v>
      </c>
      <c r="Y317" s="72">
        <v>1</v>
      </c>
      <c r="Z317" s="72">
        <v>1</v>
      </c>
      <c r="AA317" s="68">
        <v>2020</v>
      </c>
    </row>
    <row r="318" spans="1:27" ht="30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17" t="s">
        <v>145</v>
      </c>
      <c r="S318" s="15" t="s">
        <v>55</v>
      </c>
      <c r="T318" s="18">
        <v>45</v>
      </c>
      <c r="U318" s="18">
        <v>65</v>
      </c>
      <c r="V318" s="18">
        <v>40</v>
      </c>
      <c r="W318" s="18">
        <v>45</v>
      </c>
      <c r="X318" s="18">
        <v>45</v>
      </c>
      <c r="Y318" s="18">
        <v>45</v>
      </c>
      <c r="Z318" s="6">
        <f>T318+U318+V318+W318+X318+Y318</f>
        <v>285</v>
      </c>
      <c r="AA318" s="15">
        <v>2020</v>
      </c>
    </row>
    <row r="319" spans="1:27" ht="88.9" customHeight="1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7" t="s">
        <v>195</v>
      </c>
      <c r="S319" s="68" t="s">
        <v>45</v>
      </c>
      <c r="T319" s="72">
        <v>1</v>
      </c>
      <c r="U319" s="72">
        <v>1</v>
      </c>
      <c r="V319" s="72">
        <v>1</v>
      </c>
      <c r="W319" s="72">
        <v>1</v>
      </c>
      <c r="X319" s="72">
        <v>1</v>
      </c>
      <c r="Y319" s="72">
        <v>1</v>
      </c>
      <c r="Z319" s="72">
        <v>1</v>
      </c>
      <c r="AA319" s="68">
        <v>2020</v>
      </c>
    </row>
    <row r="320" spans="1:27" ht="59.45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17" t="s">
        <v>196</v>
      </c>
      <c r="S320" s="15" t="s">
        <v>54</v>
      </c>
      <c r="T320" s="18">
        <v>24</v>
      </c>
      <c r="U320" s="18">
        <v>30</v>
      </c>
      <c r="V320" s="18">
        <v>40</v>
      </c>
      <c r="W320" s="18">
        <v>24</v>
      </c>
      <c r="X320" s="18">
        <v>24</v>
      </c>
      <c r="Y320" s="18">
        <v>24</v>
      </c>
      <c r="Z320" s="6">
        <f>T320+U320+V320+W320+X320+Y320</f>
        <v>166</v>
      </c>
      <c r="AA320" s="15">
        <v>2020</v>
      </c>
    </row>
    <row r="321" spans="1:32" ht="45" hidden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17" t="s">
        <v>146</v>
      </c>
      <c r="S321" s="15" t="s">
        <v>54</v>
      </c>
      <c r="T321" s="18">
        <v>24</v>
      </c>
      <c r="U321" s="18">
        <v>24</v>
      </c>
      <c r="V321" s="18">
        <v>24</v>
      </c>
      <c r="W321" s="18">
        <v>24</v>
      </c>
      <c r="X321" s="18">
        <v>24</v>
      </c>
      <c r="Y321" s="18">
        <v>24</v>
      </c>
      <c r="Z321" s="6">
        <f>T321+U321+V321+W321+X321+Y321</f>
        <v>144</v>
      </c>
      <c r="AA321" s="15">
        <v>2020</v>
      </c>
    </row>
    <row r="322" spans="1:32" ht="45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7" t="s">
        <v>147</v>
      </c>
      <c r="S322" s="68" t="s">
        <v>45</v>
      </c>
      <c r="T322" s="72">
        <v>1</v>
      </c>
      <c r="U322" s="72">
        <v>1</v>
      </c>
      <c r="V322" s="72">
        <v>1</v>
      </c>
      <c r="W322" s="72">
        <v>1</v>
      </c>
      <c r="X322" s="72">
        <v>1</v>
      </c>
      <c r="Y322" s="72">
        <v>1</v>
      </c>
      <c r="Z322" s="72">
        <v>1</v>
      </c>
      <c r="AA322" s="68">
        <v>2020</v>
      </c>
    </row>
    <row r="323" spans="1:32" ht="30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17" t="s">
        <v>148</v>
      </c>
      <c r="S323" s="15" t="s">
        <v>54</v>
      </c>
      <c r="T323" s="18">
        <v>48</v>
      </c>
      <c r="U323" s="18">
        <v>48</v>
      </c>
      <c r="V323" s="18">
        <v>48</v>
      </c>
      <c r="W323" s="18">
        <v>48</v>
      </c>
      <c r="X323" s="18">
        <v>48</v>
      </c>
      <c r="Y323" s="18">
        <v>48</v>
      </c>
      <c r="Z323" s="6">
        <f>T323+U323+V323+W323+X323+Y323</f>
        <v>288</v>
      </c>
      <c r="AA323" s="15">
        <v>2020</v>
      </c>
    </row>
    <row r="324" spans="1:32" s="61" customFormat="1" ht="30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7" t="s">
        <v>149</v>
      </c>
      <c r="S324" s="68" t="s">
        <v>45</v>
      </c>
      <c r="T324" s="72">
        <v>1</v>
      </c>
      <c r="U324" s="72">
        <v>1</v>
      </c>
      <c r="V324" s="72">
        <v>1</v>
      </c>
      <c r="W324" s="72">
        <v>1</v>
      </c>
      <c r="X324" s="72">
        <v>1</v>
      </c>
      <c r="Y324" s="72">
        <v>1</v>
      </c>
      <c r="Z324" s="72">
        <v>1</v>
      </c>
      <c r="AA324" s="68">
        <v>2020</v>
      </c>
      <c r="AB324" s="40"/>
      <c r="AC324" s="40"/>
      <c r="AD324" s="40"/>
      <c r="AE324" s="41"/>
      <c r="AF324" s="41"/>
    </row>
    <row r="325" spans="1:32" s="22" customFormat="1" ht="31.1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17" t="s">
        <v>150</v>
      </c>
      <c r="S325" s="15" t="s">
        <v>54</v>
      </c>
      <c r="T325" s="18">
        <v>4</v>
      </c>
      <c r="U325" s="18">
        <v>4</v>
      </c>
      <c r="V325" s="18">
        <v>4</v>
      </c>
      <c r="W325" s="18">
        <v>4</v>
      </c>
      <c r="X325" s="18">
        <v>4</v>
      </c>
      <c r="Y325" s="18">
        <v>4</v>
      </c>
      <c r="Z325" s="6">
        <f t="shared" ref="Z325:Z330" si="75">T325+U325+V325+W325+X325+Y325</f>
        <v>24</v>
      </c>
      <c r="AA325" s="15">
        <v>2020</v>
      </c>
      <c r="AB325" s="46"/>
      <c r="AC325" s="46"/>
      <c r="AD325" s="46"/>
      <c r="AE325" s="1"/>
      <c r="AF325" s="1"/>
    </row>
    <row r="326" spans="1:32" s="22" customFormat="1" ht="45" x14ac:dyDescent="0.25">
      <c r="A326" s="66" t="s">
        <v>23</v>
      </c>
      <c r="B326" s="66" t="s">
        <v>24</v>
      </c>
      <c r="C326" s="66" t="s">
        <v>25</v>
      </c>
      <c r="D326" s="66" t="s">
        <v>23</v>
      </c>
      <c r="E326" s="66" t="s">
        <v>33</v>
      </c>
      <c r="F326" s="66" t="s">
        <v>23</v>
      </c>
      <c r="G326" s="66" t="s">
        <v>31</v>
      </c>
      <c r="H326" s="66" t="s">
        <v>23</v>
      </c>
      <c r="I326" s="66" t="s">
        <v>31</v>
      </c>
      <c r="J326" s="66" t="s">
        <v>25</v>
      </c>
      <c r="K326" s="66" t="s">
        <v>23</v>
      </c>
      <c r="L326" s="66" t="s">
        <v>23</v>
      </c>
      <c r="M326" s="66" t="s">
        <v>23</v>
      </c>
      <c r="N326" s="66" t="s">
        <v>23</v>
      </c>
      <c r="O326" s="66"/>
      <c r="P326" s="66"/>
      <c r="Q326" s="66"/>
      <c r="R326" s="67" t="s">
        <v>76</v>
      </c>
      <c r="S326" s="68" t="s">
        <v>59</v>
      </c>
      <c r="T326" s="70">
        <f>T327+T328</f>
        <v>44000</v>
      </c>
      <c r="U326" s="70">
        <f>U327+U328+U329</f>
        <v>78296.899999999994</v>
      </c>
      <c r="V326" s="70">
        <f t="shared" ref="V326:Y326" si="76">V327+V328+V329</f>
        <v>74550</v>
      </c>
      <c r="W326" s="70">
        <f t="shared" si="76"/>
        <v>100000</v>
      </c>
      <c r="X326" s="70">
        <f t="shared" si="76"/>
        <v>50471.8</v>
      </c>
      <c r="Y326" s="70">
        <f t="shared" si="76"/>
        <v>50471.8</v>
      </c>
      <c r="Z326" s="70">
        <f t="shared" si="75"/>
        <v>397790.5</v>
      </c>
      <c r="AA326" s="68">
        <v>2020</v>
      </c>
      <c r="AB326" s="46"/>
      <c r="AC326" s="46"/>
      <c r="AD326" s="46"/>
      <c r="AE326" s="1"/>
      <c r="AF326" s="1"/>
    </row>
    <row r="327" spans="1:32" s="22" customFormat="1" ht="45" x14ac:dyDescent="0.25">
      <c r="A327" s="66" t="s">
        <v>23</v>
      </c>
      <c r="B327" s="66" t="s">
        <v>24</v>
      </c>
      <c r="C327" s="66" t="s">
        <v>25</v>
      </c>
      <c r="D327" s="66" t="s">
        <v>23</v>
      </c>
      <c r="E327" s="66" t="s">
        <v>33</v>
      </c>
      <c r="F327" s="66" t="s">
        <v>23</v>
      </c>
      <c r="G327" s="66" t="s">
        <v>31</v>
      </c>
      <c r="H327" s="66" t="s">
        <v>23</v>
      </c>
      <c r="I327" s="66" t="s">
        <v>31</v>
      </c>
      <c r="J327" s="66" t="s">
        <v>25</v>
      </c>
      <c r="K327" s="66" t="s">
        <v>23</v>
      </c>
      <c r="L327" s="66" t="s">
        <v>24</v>
      </c>
      <c r="M327" s="66" t="s">
        <v>23</v>
      </c>
      <c r="N327" s="66" t="s">
        <v>23</v>
      </c>
      <c r="O327" s="66" t="s">
        <v>23</v>
      </c>
      <c r="P327" s="66" t="s">
        <v>23</v>
      </c>
      <c r="Q327" s="66" t="s">
        <v>25</v>
      </c>
      <c r="R327" s="67" t="s">
        <v>76</v>
      </c>
      <c r="S327" s="68" t="s">
        <v>59</v>
      </c>
      <c r="T327" s="69">
        <v>22000</v>
      </c>
      <c r="U327" s="69">
        <f>44941.2-38058.5-3135.8</f>
        <v>3746.8999999999969</v>
      </c>
      <c r="V327" s="69">
        <v>44939.199999999997</v>
      </c>
      <c r="W327" s="69">
        <v>100000</v>
      </c>
      <c r="X327" s="69">
        <v>50471.8</v>
      </c>
      <c r="Y327" s="69">
        <v>50471.8</v>
      </c>
      <c r="Z327" s="70">
        <f t="shared" si="75"/>
        <v>271629.69999999995</v>
      </c>
      <c r="AA327" s="68">
        <v>2020</v>
      </c>
      <c r="AB327" s="46"/>
      <c r="AC327" s="46"/>
      <c r="AD327" s="46"/>
      <c r="AE327" s="1"/>
      <c r="AF327" s="1"/>
    </row>
    <row r="328" spans="1:32" s="22" customFormat="1" ht="45" x14ac:dyDescent="0.25">
      <c r="A328" s="66" t="s">
        <v>23</v>
      </c>
      <c r="B328" s="66" t="s">
        <v>24</v>
      </c>
      <c r="C328" s="66" t="s">
        <v>25</v>
      </c>
      <c r="D328" s="66" t="s">
        <v>23</v>
      </c>
      <c r="E328" s="66" t="s">
        <v>33</v>
      </c>
      <c r="F328" s="66" t="s">
        <v>23</v>
      </c>
      <c r="G328" s="66" t="s">
        <v>31</v>
      </c>
      <c r="H328" s="66" t="s">
        <v>23</v>
      </c>
      <c r="I328" s="66" t="s">
        <v>31</v>
      </c>
      <c r="J328" s="66" t="s">
        <v>25</v>
      </c>
      <c r="K328" s="66" t="s">
        <v>39</v>
      </c>
      <c r="L328" s="66" t="s">
        <v>35</v>
      </c>
      <c r="M328" s="66" t="s">
        <v>34</v>
      </c>
      <c r="N328" s="66" t="s">
        <v>25</v>
      </c>
      <c r="O328" s="66"/>
      <c r="P328" s="66"/>
      <c r="Q328" s="66"/>
      <c r="R328" s="67" t="s">
        <v>76</v>
      </c>
      <c r="S328" s="68" t="s">
        <v>59</v>
      </c>
      <c r="T328" s="69">
        <v>22000</v>
      </c>
      <c r="U328" s="69"/>
      <c r="V328" s="69"/>
      <c r="W328" s="69"/>
      <c r="X328" s="69"/>
      <c r="Y328" s="69"/>
      <c r="Z328" s="70">
        <f t="shared" si="75"/>
        <v>22000</v>
      </c>
      <c r="AA328" s="68">
        <v>2020</v>
      </c>
      <c r="AB328" s="46"/>
      <c r="AC328" s="46"/>
      <c r="AD328" s="46"/>
      <c r="AE328" s="1"/>
      <c r="AF328" s="1"/>
    </row>
    <row r="329" spans="1:32" s="22" customFormat="1" ht="45" x14ac:dyDescent="0.25">
      <c r="A329" s="66" t="s">
        <v>23</v>
      </c>
      <c r="B329" s="66" t="s">
        <v>24</v>
      </c>
      <c r="C329" s="66" t="s">
        <v>25</v>
      </c>
      <c r="D329" s="66" t="s">
        <v>23</v>
      </c>
      <c r="E329" s="66" t="s">
        <v>33</v>
      </c>
      <c r="F329" s="66" t="s">
        <v>23</v>
      </c>
      <c r="G329" s="66" t="s">
        <v>31</v>
      </c>
      <c r="H329" s="66" t="s">
        <v>23</v>
      </c>
      <c r="I329" s="66" t="s">
        <v>31</v>
      </c>
      <c r="J329" s="66" t="s">
        <v>25</v>
      </c>
      <c r="K329" s="66" t="s">
        <v>23</v>
      </c>
      <c r="L329" s="66" t="s">
        <v>24</v>
      </c>
      <c r="M329" s="66" t="s">
        <v>24</v>
      </c>
      <c r="N329" s="66" t="s">
        <v>23</v>
      </c>
      <c r="O329" s="66" t="s">
        <v>39</v>
      </c>
      <c r="P329" s="66" t="s">
        <v>25</v>
      </c>
      <c r="Q329" s="66" t="s">
        <v>176</v>
      </c>
      <c r="R329" s="67" t="s">
        <v>76</v>
      </c>
      <c r="S329" s="68" t="s">
        <v>59</v>
      </c>
      <c r="T329" s="69"/>
      <c r="U329" s="69">
        <v>74550</v>
      </c>
      <c r="V329" s="69">
        <v>29610.799999999999</v>
      </c>
      <c r="W329" s="69"/>
      <c r="X329" s="69"/>
      <c r="Y329" s="69"/>
      <c r="Z329" s="70">
        <f t="shared" si="75"/>
        <v>104160.8</v>
      </c>
      <c r="AA329" s="68">
        <v>2020</v>
      </c>
      <c r="AB329" s="46"/>
      <c r="AC329" s="46"/>
      <c r="AD329" s="46"/>
      <c r="AE329" s="1"/>
      <c r="AF329" s="1"/>
    </row>
    <row r="330" spans="1:32" s="22" customFormat="1" ht="29.25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7" t="s">
        <v>77</v>
      </c>
      <c r="S330" s="15" t="s">
        <v>54</v>
      </c>
      <c r="T330" s="21">
        <v>3</v>
      </c>
      <c r="U330" s="21"/>
      <c r="V330" s="21"/>
      <c r="W330" s="21"/>
      <c r="X330" s="21"/>
      <c r="Y330" s="21"/>
      <c r="Z330" s="6">
        <f t="shared" si="75"/>
        <v>3</v>
      </c>
      <c r="AA330" s="15">
        <v>2015</v>
      </c>
      <c r="AB330" s="46"/>
      <c r="AC330" s="46"/>
      <c r="AD330" s="46"/>
      <c r="AE330" s="108"/>
      <c r="AF330" s="108"/>
    </row>
    <row r="331" spans="1:32" s="22" customFormat="1" ht="27.6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7" t="s">
        <v>239</v>
      </c>
      <c r="S331" s="15" t="s">
        <v>10</v>
      </c>
      <c r="T331" s="21"/>
      <c r="U331" s="21">
        <v>50</v>
      </c>
      <c r="V331" s="21">
        <v>50</v>
      </c>
      <c r="W331" s="21"/>
      <c r="X331" s="21"/>
      <c r="Y331" s="21"/>
      <c r="Z331" s="6">
        <f>U331+V331</f>
        <v>100</v>
      </c>
      <c r="AA331" s="15">
        <v>2017</v>
      </c>
      <c r="AB331" s="46"/>
      <c r="AC331" s="46"/>
      <c r="AD331" s="46"/>
      <c r="AE331" s="78"/>
      <c r="AF331" s="78"/>
    </row>
    <row r="332" spans="1:32" s="22" customFormat="1" ht="27.6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7" t="s">
        <v>249</v>
      </c>
      <c r="S332" s="15" t="s">
        <v>54</v>
      </c>
      <c r="T332" s="21"/>
      <c r="U332" s="21"/>
      <c r="V332" s="21"/>
      <c r="W332" s="21">
        <v>25</v>
      </c>
      <c r="X332" s="21"/>
      <c r="Y332" s="21"/>
      <c r="Z332" s="6">
        <f>W332:W335</f>
        <v>25</v>
      </c>
      <c r="AA332" s="15">
        <v>2018</v>
      </c>
      <c r="AB332" s="46"/>
      <c r="AC332" s="46"/>
      <c r="AD332" s="46"/>
      <c r="AE332" s="96"/>
      <c r="AF332" s="96"/>
    </row>
    <row r="333" spans="1:32" s="22" customFormat="1" ht="27.6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7" t="s">
        <v>250</v>
      </c>
      <c r="S333" s="15" t="s">
        <v>10</v>
      </c>
      <c r="T333" s="21"/>
      <c r="U333" s="21"/>
      <c r="V333" s="21"/>
      <c r="W333" s="21"/>
      <c r="X333" s="21">
        <v>50</v>
      </c>
      <c r="Y333" s="21">
        <v>50</v>
      </c>
      <c r="Z333" s="6">
        <f>X333+Y333</f>
        <v>100</v>
      </c>
      <c r="AA333" s="15">
        <v>2020</v>
      </c>
      <c r="AB333" s="46"/>
      <c r="AC333" s="46"/>
      <c r="AD333" s="46"/>
      <c r="AE333" s="96"/>
      <c r="AF333" s="96"/>
    </row>
    <row r="334" spans="1:32" s="22" customFormat="1" ht="30" x14ac:dyDescent="0.25">
      <c r="A334" s="66" t="s">
        <v>23</v>
      </c>
      <c r="B334" s="66" t="s">
        <v>24</v>
      </c>
      <c r="C334" s="66" t="s">
        <v>25</v>
      </c>
      <c r="D334" s="66" t="s">
        <v>23</v>
      </c>
      <c r="E334" s="66" t="s">
        <v>33</v>
      </c>
      <c r="F334" s="66" t="s">
        <v>23</v>
      </c>
      <c r="G334" s="66" t="s">
        <v>31</v>
      </c>
      <c r="H334" s="66" t="s">
        <v>23</v>
      </c>
      <c r="I334" s="66" t="s">
        <v>31</v>
      </c>
      <c r="J334" s="66" t="s">
        <v>25</v>
      </c>
      <c r="K334" s="66" t="s">
        <v>23</v>
      </c>
      <c r="L334" s="66" t="s">
        <v>23</v>
      </c>
      <c r="M334" s="66" t="s">
        <v>23</v>
      </c>
      <c r="N334" s="66" t="s">
        <v>23</v>
      </c>
      <c r="O334" s="66" t="s">
        <v>23</v>
      </c>
      <c r="P334" s="66" t="s">
        <v>23</v>
      </c>
      <c r="Q334" s="66" t="s">
        <v>23</v>
      </c>
      <c r="R334" s="67" t="s">
        <v>71</v>
      </c>
      <c r="S334" s="68" t="s">
        <v>59</v>
      </c>
      <c r="T334" s="70">
        <f>T335+T336</f>
        <v>106123.9</v>
      </c>
      <c r="U334" s="70">
        <f>U335+U336+U337</f>
        <v>8200.7999999999993</v>
      </c>
      <c r="V334" s="70"/>
      <c r="W334" s="68"/>
      <c r="X334" s="68"/>
      <c r="Y334" s="68"/>
      <c r="Z334" s="70">
        <f t="shared" ref="Z334:Z339" si="77">T334+U334+V334+W334+X334+Y334</f>
        <v>114324.7</v>
      </c>
      <c r="AA334" s="68">
        <v>2016</v>
      </c>
      <c r="AB334" s="46"/>
      <c r="AC334" s="46"/>
      <c r="AD334" s="46"/>
      <c r="AE334" s="78"/>
      <c r="AF334" s="78"/>
    </row>
    <row r="335" spans="1:32" s="22" customFormat="1" ht="31.15" customHeight="1" x14ac:dyDescent="0.25">
      <c r="A335" s="66" t="s">
        <v>23</v>
      </c>
      <c r="B335" s="66" t="s">
        <v>24</v>
      </c>
      <c r="C335" s="66" t="s">
        <v>25</v>
      </c>
      <c r="D335" s="66" t="s">
        <v>23</v>
      </c>
      <c r="E335" s="66" t="s">
        <v>33</v>
      </c>
      <c r="F335" s="66" t="s">
        <v>23</v>
      </c>
      <c r="G335" s="66" t="s">
        <v>31</v>
      </c>
      <c r="H335" s="66" t="s">
        <v>23</v>
      </c>
      <c r="I335" s="66" t="s">
        <v>31</v>
      </c>
      <c r="J335" s="66" t="s">
        <v>25</v>
      </c>
      <c r="K335" s="66" t="s">
        <v>23</v>
      </c>
      <c r="L335" s="66" t="s">
        <v>24</v>
      </c>
      <c r="M335" s="66" t="s">
        <v>23</v>
      </c>
      <c r="N335" s="66" t="s">
        <v>23</v>
      </c>
      <c r="O335" s="66"/>
      <c r="P335" s="66"/>
      <c r="Q335" s="66"/>
      <c r="R335" s="67" t="s">
        <v>71</v>
      </c>
      <c r="S335" s="68" t="s">
        <v>59</v>
      </c>
      <c r="T335" s="69">
        <f>59700-6250-776.1</f>
        <v>52673.9</v>
      </c>
      <c r="U335" s="68"/>
      <c r="V335" s="68"/>
      <c r="W335" s="68"/>
      <c r="X335" s="68"/>
      <c r="Y335" s="68"/>
      <c r="Z335" s="70">
        <f t="shared" si="77"/>
        <v>52673.9</v>
      </c>
      <c r="AA335" s="68">
        <v>2015</v>
      </c>
      <c r="AB335" s="46"/>
      <c r="AC335" s="46"/>
      <c r="AD335" s="46"/>
      <c r="AE335" s="1"/>
      <c r="AF335" s="1"/>
    </row>
    <row r="336" spans="1:32" s="22" customFormat="1" ht="31.15" customHeight="1" x14ac:dyDescent="0.25">
      <c r="A336" s="66" t="s">
        <v>23</v>
      </c>
      <c r="B336" s="66" t="s">
        <v>24</v>
      </c>
      <c r="C336" s="66" t="s">
        <v>25</v>
      </c>
      <c r="D336" s="66" t="s">
        <v>23</v>
      </c>
      <c r="E336" s="66" t="s">
        <v>33</v>
      </c>
      <c r="F336" s="66" t="s">
        <v>23</v>
      </c>
      <c r="G336" s="66" t="s">
        <v>31</v>
      </c>
      <c r="H336" s="66" t="s">
        <v>23</v>
      </c>
      <c r="I336" s="66" t="s">
        <v>31</v>
      </c>
      <c r="J336" s="66" t="s">
        <v>25</v>
      </c>
      <c r="K336" s="66" t="s">
        <v>39</v>
      </c>
      <c r="L336" s="66" t="s">
        <v>35</v>
      </c>
      <c r="M336" s="66" t="s">
        <v>34</v>
      </c>
      <c r="N336" s="66" t="s">
        <v>25</v>
      </c>
      <c r="O336" s="66"/>
      <c r="P336" s="66"/>
      <c r="Q336" s="66"/>
      <c r="R336" s="67" t="s">
        <v>71</v>
      </c>
      <c r="S336" s="68" t="s">
        <v>59</v>
      </c>
      <c r="T336" s="69">
        <v>53450</v>
      </c>
      <c r="U336" s="68"/>
      <c r="V336" s="68"/>
      <c r="W336" s="68"/>
      <c r="X336" s="68"/>
      <c r="Y336" s="68"/>
      <c r="Z336" s="70">
        <f t="shared" si="77"/>
        <v>53450</v>
      </c>
      <c r="AA336" s="68">
        <v>2015</v>
      </c>
      <c r="AB336" s="46"/>
      <c r="AC336" s="46"/>
      <c r="AD336" s="46"/>
      <c r="AE336" s="1"/>
      <c r="AF336" s="1"/>
    </row>
    <row r="337" spans="1:32" s="22" customFormat="1" ht="31.15" customHeight="1" x14ac:dyDescent="0.25">
      <c r="A337" s="66" t="s">
        <v>23</v>
      </c>
      <c r="B337" s="66" t="s">
        <v>24</v>
      </c>
      <c r="C337" s="66" t="s">
        <v>25</v>
      </c>
      <c r="D337" s="66" t="s">
        <v>23</v>
      </c>
      <c r="E337" s="66" t="s">
        <v>33</v>
      </c>
      <c r="F337" s="66" t="s">
        <v>23</v>
      </c>
      <c r="G337" s="66" t="s">
        <v>31</v>
      </c>
      <c r="H337" s="66" t="s">
        <v>23</v>
      </c>
      <c r="I337" s="66" t="s">
        <v>31</v>
      </c>
      <c r="J337" s="66" t="s">
        <v>25</v>
      </c>
      <c r="K337" s="66" t="s">
        <v>23</v>
      </c>
      <c r="L337" s="66" t="s">
        <v>24</v>
      </c>
      <c r="M337" s="66" t="s">
        <v>24</v>
      </c>
      <c r="N337" s="66" t="s">
        <v>23</v>
      </c>
      <c r="O337" s="66" t="s">
        <v>39</v>
      </c>
      <c r="P337" s="66" t="s">
        <v>25</v>
      </c>
      <c r="Q337" s="66" t="s">
        <v>176</v>
      </c>
      <c r="R337" s="67" t="s">
        <v>71</v>
      </c>
      <c r="S337" s="68" t="s">
        <v>59</v>
      </c>
      <c r="T337" s="69"/>
      <c r="U337" s="69">
        <v>8200.7999999999993</v>
      </c>
      <c r="V337" s="69"/>
      <c r="W337" s="69"/>
      <c r="X337" s="69"/>
      <c r="Y337" s="69"/>
      <c r="Z337" s="70">
        <f t="shared" si="77"/>
        <v>8200.7999999999993</v>
      </c>
      <c r="AA337" s="68">
        <v>2016</v>
      </c>
      <c r="AB337" s="86"/>
      <c r="AC337" s="46"/>
      <c r="AD337" s="46"/>
      <c r="AE337" s="1"/>
      <c r="AF337" s="1"/>
    </row>
    <row r="338" spans="1:32" s="1" customFormat="1" ht="5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17" t="s">
        <v>72</v>
      </c>
      <c r="S338" s="47" t="s">
        <v>73</v>
      </c>
      <c r="T338" s="8">
        <v>14.6</v>
      </c>
      <c r="U338" s="29">
        <v>7.0000000000000007E-2</v>
      </c>
      <c r="V338" s="15"/>
      <c r="W338" s="15"/>
      <c r="X338" s="15"/>
      <c r="Y338" s="15"/>
      <c r="Z338" s="90">
        <f t="shared" si="77"/>
        <v>14.67</v>
      </c>
      <c r="AA338" s="15">
        <v>2016</v>
      </c>
      <c r="AB338" s="46"/>
      <c r="AC338" s="46"/>
      <c r="AD338" s="46"/>
    </row>
    <row r="339" spans="1:32" s="22" customFormat="1" ht="5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7" t="s">
        <v>74</v>
      </c>
      <c r="S339" s="47" t="s">
        <v>73</v>
      </c>
      <c r="T339" s="8">
        <v>7.1</v>
      </c>
      <c r="U339" s="29">
        <v>0.22</v>
      </c>
      <c r="V339" s="21"/>
      <c r="W339" s="21"/>
      <c r="X339" s="21"/>
      <c r="Y339" s="21"/>
      <c r="Z339" s="90">
        <f t="shared" si="77"/>
        <v>7.3199999999999994</v>
      </c>
      <c r="AA339" s="15">
        <v>2016</v>
      </c>
      <c r="AB339" s="46"/>
      <c r="AC339" s="46"/>
      <c r="AD339" s="46"/>
      <c r="AE339" s="1"/>
      <c r="AF339" s="1"/>
    </row>
    <row r="340" spans="1:32" s="22" customFormat="1" ht="75" x14ac:dyDescent="0.25">
      <c r="A340" s="66"/>
      <c r="B340" s="66"/>
      <c r="C340" s="66"/>
      <c r="D340" s="66" t="s">
        <v>23</v>
      </c>
      <c r="E340" s="66" t="s">
        <v>33</v>
      </c>
      <c r="F340" s="66" t="s">
        <v>23</v>
      </c>
      <c r="G340" s="66" t="s">
        <v>31</v>
      </c>
      <c r="H340" s="66" t="s">
        <v>23</v>
      </c>
      <c r="I340" s="66" t="s">
        <v>31</v>
      </c>
      <c r="J340" s="66" t="s">
        <v>25</v>
      </c>
      <c r="K340" s="66" t="s">
        <v>23</v>
      </c>
      <c r="L340" s="66" t="s">
        <v>24</v>
      </c>
      <c r="M340" s="66" t="s">
        <v>23</v>
      </c>
      <c r="N340" s="66" t="s">
        <v>23</v>
      </c>
      <c r="O340" s="66" t="s">
        <v>23</v>
      </c>
      <c r="P340" s="66" t="s">
        <v>23</v>
      </c>
      <c r="Q340" s="66" t="s">
        <v>23</v>
      </c>
      <c r="R340" s="67" t="s">
        <v>174</v>
      </c>
      <c r="S340" s="68" t="s">
        <v>59</v>
      </c>
      <c r="T340" s="69"/>
      <c r="U340" s="70">
        <f>U341+U342</f>
        <v>252457.90000000002</v>
      </c>
      <c r="V340" s="70">
        <f>V342</f>
        <v>232340.5</v>
      </c>
      <c r="W340" s="70">
        <f t="shared" ref="W340:Y340" si="78">W342</f>
        <v>71778.100000000006</v>
      </c>
      <c r="X340" s="70">
        <f t="shared" si="78"/>
        <v>93700</v>
      </c>
      <c r="Y340" s="70">
        <f t="shared" si="78"/>
        <v>110160</v>
      </c>
      <c r="Z340" s="70">
        <f>Z341+Z342</f>
        <v>760436.5</v>
      </c>
      <c r="AA340" s="68">
        <v>2020</v>
      </c>
      <c r="AB340" s="46"/>
      <c r="AC340" s="46"/>
      <c r="AD340" s="46"/>
      <c r="AE340" s="108"/>
      <c r="AF340" s="108"/>
    </row>
    <row r="341" spans="1:32" s="22" customFormat="1" ht="75" x14ac:dyDescent="0.25">
      <c r="A341" s="66" t="s">
        <v>23</v>
      </c>
      <c r="B341" s="66" t="s">
        <v>24</v>
      </c>
      <c r="C341" s="66" t="s">
        <v>25</v>
      </c>
      <c r="D341" s="66" t="s">
        <v>23</v>
      </c>
      <c r="E341" s="66" t="s">
        <v>33</v>
      </c>
      <c r="F341" s="66" t="s">
        <v>23</v>
      </c>
      <c r="G341" s="66" t="s">
        <v>31</v>
      </c>
      <c r="H341" s="66" t="s">
        <v>23</v>
      </c>
      <c r="I341" s="66" t="s">
        <v>31</v>
      </c>
      <c r="J341" s="66" t="s">
        <v>25</v>
      </c>
      <c r="K341" s="66" t="s">
        <v>23</v>
      </c>
      <c r="L341" s="66" t="s">
        <v>24</v>
      </c>
      <c r="M341" s="66" t="s">
        <v>23</v>
      </c>
      <c r="N341" s="66" t="s">
        <v>23</v>
      </c>
      <c r="O341" s="66" t="s">
        <v>23</v>
      </c>
      <c r="P341" s="66" t="s">
        <v>23</v>
      </c>
      <c r="Q341" s="66" t="s">
        <v>23</v>
      </c>
      <c r="R341" s="67" t="s">
        <v>174</v>
      </c>
      <c r="S341" s="68" t="s">
        <v>59</v>
      </c>
      <c r="T341" s="69"/>
      <c r="U341" s="69">
        <v>170747.7</v>
      </c>
      <c r="V341" s="69"/>
      <c r="W341" s="69"/>
      <c r="X341" s="69"/>
      <c r="Y341" s="69"/>
      <c r="Z341" s="70">
        <f t="shared" ref="Z341:Z342" si="79">T341+U341+V341+W341+X341+Y341</f>
        <v>170747.7</v>
      </c>
      <c r="AA341" s="68">
        <v>2016</v>
      </c>
      <c r="AB341" s="46"/>
      <c r="AC341" s="46"/>
      <c r="AD341" s="46"/>
      <c r="AE341" s="91"/>
      <c r="AF341" s="91"/>
    </row>
    <row r="342" spans="1:32" s="22" customFormat="1" ht="75" x14ac:dyDescent="0.25">
      <c r="A342" s="66" t="s">
        <v>23</v>
      </c>
      <c r="B342" s="66" t="s">
        <v>24</v>
      </c>
      <c r="C342" s="66" t="s">
        <v>31</v>
      </c>
      <c r="D342" s="66" t="s">
        <v>23</v>
      </c>
      <c r="E342" s="66" t="s">
        <v>33</v>
      </c>
      <c r="F342" s="66" t="s">
        <v>23</v>
      </c>
      <c r="G342" s="66" t="s">
        <v>31</v>
      </c>
      <c r="H342" s="66" t="s">
        <v>23</v>
      </c>
      <c r="I342" s="66" t="s">
        <v>31</v>
      </c>
      <c r="J342" s="66" t="s">
        <v>25</v>
      </c>
      <c r="K342" s="66" t="s">
        <v>23</v>
      </c>
      <c r="L342" s="66" t="s">
        <v>24</v>
      </c>
      <c r="M342" s="66" t="s">
        <v>23</v>
      </c>
      <c r="N342" s="66" t="s">
        <v>23</v>
      </c>
      <c r="O342" s="66" t="s">
        <v>23</v>
      </c>
      <c r="P342" s="66" t="s">
        <v>23</v>
      </c>
      <c r="Q342" s="66" t="s">
        <v>23</v>
      </c>
      <c r="R342" s="67" t="s">
        <v>174</v>
      </c>
      <c r="S342" s="68" t="s">
        <v>59</v>
      </c>
      <c r="T342" s="69"/>
      <c r="U342" s="69">
        <f>26710.2+30000+25000</f>
        <v>81710.2</v>
      </c>
      <c r="V342" s="69">
        <f>170000+31949.5+30391</f>
        <v>232340.5</v>
      </c>
      <c r="W342" s="69">
        <v>71778.100000000006</v>
      </c>
      <c r="X342" s="69">
        <v>93700</v>
      </c>
      <c r="Y342" s="69">
        <v>110160</v>
      </c>
      <c r="Z342" s="70">
        <f t="shared" si="79"/>
        <v>589688.80000000005</v>
      </c>
      <c r="AA342" s="68">
        <v>2020</v>
      </c>
      <c r="AB342" s="46"/>
      <c r="AC342" s="46"/>
      <c r="AD342" s="46"/>
      <c r="AE342" s="91"/>
      <c r="AF342" s="91"/>
    </row>
    <row r="343" spans="1:32" s="22" customFormat="1" ht="31.9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7" t="s">
        <v>141</v>
      </c>
      <c r="S343" s="15" t="s">
        <v>10</v>
      </c>
      <c r="T343" s="21"/>
      <c r="U343" s="21">
        <v>100</v>
      </c>
      <c r="V343" s="21">
        <v>100</v>
      </c>
      <c r="W343" s="21">
        <v>100</v>
      </c>
      <c r="X343" s="21">
        <v>100</v>
      </c>
      <c r="Y343" s="21">
        <v>100</v>
      </c>
      <c r="Z343" s="6">
        <v>100</v>
      </c>
      <c r="AA343" s="15">
        <v>2020</v>
      </c>
      <c r="AB343" s="46"/>
      <c r="AC343" s="46"/>
      <c r="AD343" s="46"/>
      <c r="AE343" s="1"/>
      <c r="AF343" s="1"/>
    </row>
    <row r="344" spans="1:32" ht="71.25" x14ac:dyDescent="0.25">
      <c r="A344" s="20">
        <v>0</v>
      </c>
      <c r="B344" s="20">
        <v>1</v>
      </c>
      <c r="C344" s="20">
        <v>8</v>
      </c>
      <c r="D344" s="20">
        <v>0</v>
      </c>
      <c r="E344" s="20">
        <v>4</v>
      </c>
      <c r="F344" s="20">
        <v>0</v>
      </c>
      <c r="G344" s="20">
        <v>8</v>
      </c>
      <c r="H344" s="20">
        <v>0</v>
      </c>
      <c r="I344" s="59" t="s">
        <v>31</v>
      </c>
      <c r="J344" s="59" t="s">
        <v>25</v>
      </c>
      <c r="K344" s="59" t="s">
        <v>23</v>
      </c>
      <c r="L344" s="59" t="s">
        <v>25</v>
      </c>
      <c r="M344" s="59" t="s">
        <v>23</v>
      </c>
      <c r="N344" s="59" t="s">
        <v>23</v>
      </c>
      <c r="O344" s="59" t="s">
        <v>23</v>
      </c>
      <c r="P344" s="59" t="s">
        <v>23</v>
      </c>
      <c r="Q344" s="59" t="s">
        <v>23</v>
      </c>
      <c r="R344" s="60" t="s">
        <v>46</v>
      </c>
      <c r="S344" s="28" t="s">
        <v>45</v>
      </c>
      <c r="T344" s="31">
        <v>1</v>
      </c>
      <c r="U344" s="31">
        <v>1</v>
      </c>
      <c r="V344" s="31">
        <v>1</v>
      </c>
      <c r="W344" s="31">
        <v>1</v>
      </c>
      <c r="X344" s="31">
        <v>1</v>
      </c>
      <c r="Y344" s="31">
        <v>1</v>
      </c>
      <c r="Z344" s="31">
        <v>1</v>
      </c>
      <c r="AA344" s="28">
        <v>2020</v>
      </c>
    </row>
    <row r="345" spans="1:32" ht="30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17" t="s">
        <v>151</v>
      </c>
      <c r="S345" s="15" t="s">
        <v>55</v>
      </c>
      <c r="T345" s="21">
        <f t="shared" ref="T345" si="80">T348+T350</f>
        <v>165</v>
      </c>
      <c r="U345" s="21">
        <f>U350</f>
        <v>210</v>
      </c>
      <c r="V345" s="21">
        <f t="shared" ref="V345:Y345" si="81">V350</f>
        <v>280</v>
      </c>
      <c r="W345" s="21">
        <f t="shared" si="81"/>
        <v>200</v>
      </c>
      <c r="X345" s="21">
        <f t="shared" si="81"/>
        <v>200</v>
      </c>
      <c r="Y345" s="21">
        <f t="shared" si="81"/>
        <v>200</v>
      </c>
      <c r="Z345" s="6">
        <f>T345+U345+V345+W345+X345+Y345</f>
        <v>1255</v>
      </c>
      <c r="AA345" s="15">
        <v>2020</v>
      </c>
    </row>
    <row r="346" spans="1:32" ht="30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17" t="s">
        <v>152</v>
      </c>
      <c r="S346" s="15" t="s">
        <v>59</v>
      </c>
      <c r="T346" s="8">
        <v>215</v>
      </c>
      <c r="U346" s="8">
        <f>207*1.6</f>
        <v>331.20000000000005</v>
      </c>
      <c r="V346" s="8">
        <f>V350*1.6</f>
        <v>448</v>
      </c>
      <c r="W346" s="8">
        <f t="shared" ref="W346:Y346" si="82">200*1.6</f>
        <v>320</v>
      </c>
      <c r="X346" s="8">
        <f t="shared" si="82"/>
        <v>320</v>
      </c>
      <c r="Y346" s="8">
        <f t="shared" si="82"/>
        <v>320</v>
      </c>
      <c r="Z346" s="5">
        <f>T346+U346+V346+W346+X346+Y346</f>
        <v>1954.2</v>
      </c>
      <c r="AA346" s="15">
        <v>2020</v>
      </c>
    </row>
    <row r="347" spans="1:32" ht="59.45" customHeight="1" x14ac:dyDescent="0.25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7" t="s">
        <v>197</v>
      </c>
      <c r="S347" s="68" t="s">
        <v>45</v>
      </c>
      <c r="T347" s="72">
        <v>1</v>
      </c>
      <c r="U347" s="72">
        <v>1</v>
      </c>
      <c r="V347" s="72">
        <v>1</v>
      </c>
      <c r="W347" s="72">
        <v>1</v>
      </c>
      <c r="X347" s="72">
        <v>1</v>
      </c>
      <c r="Y347" s="72">
        <v>1</v>
      </c>
      <c r="Z347" s="72">
        <v>1</v>
      </c>
      <c r="AA347" s="68">
        <v>2020</v>
      </c>
    </row>
    <row r="348" spans="1:32" ht="30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17" t="s">
        <v>198</v>
      </c>
      <c r="S348" s="15" t="s">
        <v>55</v>
      </c>
      <c r="T348" s="21">
        <v>45</v>
      </c>
      <c r="U348" s="21">
        <v>205</v>
      </c>
      <c r="V348" s="21">
        <v>200</v>
      </c>
      <c r="W348" s="21">
        <v>125</v>
      </c>
      <c r="X348" s="21">
        <v>125</v>
      </c>
      <c r="Y348" s="21">
        <v>125</v>
      </c>
      <c r="Z348" s="6">
        <f>T348+U348+V348+W348+X348+Y348</f>
        <v>825</v>
      </c>
      <c r="AA348" s="15">
        <v>2020</v>
      </c>
    </row>
    <row r="349" spans="1:32" ht="58.9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7" t="s">
        <v>199</v>
      </c>
      <c r="S349" s="68" t="s">
        <v>45</v>
      </c>
      <c r="T349" s="72">
        <v>1</v>
      </c>
      <c r="U349" s="72">
        <v>1</v>
      </c>
      <c r="V349" s="72">
        <v>1</v>
      </c>
      <c r="W349" s="72">
        <v>1</v>
      </c>
      <c r="X349" s="72">
        <v>1</v>
      </c>
      <c r="Y349" s="72">
        <v>1</v>
      </c>
      <c r="Z349" s="72">
        <v>1</v>
      </c>
      <c r="AA349" s="68">
        <v>2020</v>
      </c>
    </row>
    <row r="350" spans="1:32" ht="46.9" customHeight="1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17" t="s">
        <v>200</v>
      </c>
      <c r="S350" s="15" t="s">
        <v>55</v>
      </c>
      <c r="T350" s="21">
        <v>120</v>
      </c>
      <c r="U350" s="21">
        <v>210</v>
      </c>
      <c r="V350" s="21">
        <v>280</v>
      </c>
      <c r="W350" s="21">
        <v>200</v>
      </c>
      <c r="X350" s="21">
        <v>200</v>
      </c>
      <c r="Y350" s="21">
        <v>200</v>
      </c>
      <c r="Z350" s="6">
        <f>T350+U350+V350+W350+X350+Y350</f>
        <v>1210</v>
      </c>
      <c r="AA350" s="18">
        <v>2020</v>
      </c>
    </row>
    <row r="351" spans="1:32" s="22" customFormat="1" ht="45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7" t="s">
        <v>201</v>
      </c>
      <c r="S351" s="68" t="s">
        <v>45</v>
      </c>
      <c r="T351" s="72">
        <v>1</v>
      </c>
      <c r="U351" s="72">
        <v>1</v>
      </c>
      <c r="V351" s="72">
        <v>1</v>
      </c>
      <c r="W351" s="72">
        <v>1</v>
      </c>
      <c r="X351" s="72">
        <v>1</v>
      </c>
      <c r="Y351" s="72">
        <v>1</v>
      </c>
      <c r="Z351" s="72">
        <v>1</v>
      </c>
      <c r="AA351" s="68">
        <v>2020</v>
      </c>
      <c r="AB351" s="46"/>
      <c r="AC351" s="46"/>
      <c r="AD351" s="46"/>
      <c r="AE351" s="1"/>
      <c r="AF351" s="1"/>
    </row>
    <row r="352" spans="1:32" s="1" customFormat="1" ht="45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17" t="s">
        <v>202</v>
      </c>
      <c r="S352" s="15" t="s">
        <v>55</v>
      </c>
      <c r="T352" s="21">
        <f>700+250</f>
        <v>950</v>
      </c>
      <c r="U352" s="21">
        <v>1085</v>
      </c>
      <c r="V352" s="21">
        <v>1400</v>
      </c>
      <c r="W352" s="21">
        <v>1000</v>
      </c>
      <c r="X352" s="21">
        <v>1000</v>
      </c>
      <c r="Y352" s="21">
        <v>1000</v>
      </c>
      <c r="Z352" s="6">
        <f>T352+U352+V352+W352+X352+Y352</f>
        <v>6435</v>
      </c>
      <c r="AA352" s="15">
        <v>2020</v>
      </c>
      <c r="AB352" s="46"/>
      <c r="AC352" s="46"/>
      <c r="AD352" s="46"/>
    </row>
    <row r="353" spans="1:32" s="2" customFormat="1" ht="26.25" hidden="1" customHeight="1" x14ac:dyDescent="0.25">
      <c r="A353" s="33"/>
      <c r="B353" s="33"/>
      <c r="C353" s="33"/>
      <c r="D353" s="33"/>
      <c r="E353" s="33"/>
      <c r="F353" s="33"/>
      <c r="G353" s="33"/>
      <c r="H353" s="63"/>
      <c r="I353" s="33"/>
      <c r="J353" s="33"/>
      <c r="K353" s="33"/>
      <c r="L353" s="33"/>
      <c r="M353" s="33"/>
      <c r="N353" s="33"/>
      <c r="O353" s="33"/>
      <c r="P353" s="33"/>
      <c r="Q353" s="33"/>
      <c r="R353" s="52" t="s">
        <v>8</v>
      </c>
      <c r="S353" s="32" t="s">
        <v>1</v>
      </c>
      <c r="T353" s="4">
        <f t="shared" ref="T353:Y353" si="83">T355+T356</f>
        <v>41792.9</v>
      </c>
      <c r="U353" s="4">
        <f t="shared" si="83"/>
        <v>42055.9</v>
      </c>
      <c r="V353" s="4">
        <f t="shared" si="83"/>
        <v>44284.9</v>
      </c>
      <c r="W353" s="4">
        <f t="shared" si="83"/>
        <v>46100.6</v>
      </c>
      <c r="X353" s="4">
        <f t="shared" si="83"/>
        <v>47760.2</v>
      </c>
      <c r="Y353" s="4">
        <f t="shared" si="83"/>
        <v>49288.5</v>
      </c>
      <c r="Z353" s="4">
        <f>T353+U353+V353+W353+X353+Y353</f>
        <v>271283</v>
      </c>
      <c r="AA353" s="33">
        <v>2020</v>
      </c>
      <c r="AB353" s="40"/>
      <c r="AC353" s="40"/>
      <c r="AD353" s="40"/>
      <c r="AE353" s="41"/>
      <c r="AF353" s="41"/>
    </row>
    <row r="354" spans="1:32" s="22" customFormat="1" ht="42.75" hidden="1" x14ac:dyDescent="0.25">
      <c r="A354" s="15"/>
      <c r="B354" s="15"/>
      <c r="C354" s="15"/>
      <c r="D354" s="15"/>
      <c r="E354" s="15"/>
      <c r="F354" s="15"/>
      <c r="G354" s="15"/>
      <c r="H354" s="38"/>
      <c r="I354" s="15"/>
      <c r="J354" s="15"/>
      <c r="K354" s="15"/>
      <c r="L354" s="15"/>
      <c r="M354" s="15"/>
      <c r="N354" s="15"/>
      <c r="O354" s="15"/>
      <c r="P354" s="15"/>
      <c r="Q354" s="15"/>
      <c r="R354" s="37" t="s">
        <v>41</v>
      </c>
      <c r="S354" s="27"/>
      <c r="T354" s="5"/>
      <c r="U354" s="5"/>
      <c r="V354" s="5"/>
      <c r="W354" s="5"/>
      <c r="X354" s="5"/>
      <c r="Y354" s="5"/>
      <c r="Z354" s="5"/>
      <c r="AA354" s="15"/>
      <c r="AB354" s="46"/>
      <c r="AC354" s="46"/>
      <c r="AD354" s="46"/>
      <c r="AE354" s="1"/>
      <c r="AF354" s="1"/>
    </row>
    <row r="355" spans="1:32" ht="25.9" hidden="1" customHeight="1" x14ac:dyDescent="0.25">
      <c r="A355" s="12" t="s">
        <v>23</v>
      </c>
      <c r="B355" s="12" t="s">
        <v>24</v>
      </c>
      <c r="C355" s="12" t="s">
        <v>25</v>
      </c>
      <c r="D355" s="12" t="s">
        <v>23</v>
      </c>
      <c r="E355" s="12" t="s">
        <v>30</v>
      </c>
      <c r="F355" s="12" t="s">
        <v>23</v>
      </c>
      <c r="G355" s="12" t="s">
        <v>30</v>
      </c>
      <c r="H355" s="12" t="s">
        <v>23</v>
      </c>
      <c r="I355" s="12" t="s">
        <v>31</v>
      </c>
      <c r="J355" s="12" t="s">
        <v>32</v>
      </c>
      <c r="K355" s="12" t="s">
        <v>23</v>
      </c>
      <c r="L355" s="12" t="s">
        <v>30</v>
      </c>
      <c r="M355" s="12"/>
      <c r="N355" s="12"/>
      <c r="O355" s="12"/>
      <c r="P355" s="12" t="s">
        <v>23</v>
      </c>
      <c r="Q355" s="12" t="s">
        <v>23</v>
      </c>
      <c r="R355" s="9" t="s">
        <v>153</v>
      </c>
      <c r="S355" s="13" t="s">
        <v>1</v>
      </c>
      <c r="T355" s="11">
        <v>41537</v>
      </c>
      <c r="U355" s="11">
        <v>41800</v>
      </c>
      <c r="V355" s="11">
        <v>44015.4</v>
      </c>
      <c r="W355" s="11">
        <v>45820</v>
      </c>
      <c r="X355" s="11">
        <v>47469.5</v>
      </c>
      <c r="Y355" s="11">
        <v>48988.5</v>
      </c>
      <c r="Z355" s="10">
        <f>T355+U355+V355+W355+X355+Y355</f>
        <v>269630.40000000002</v>
      </c>
      <c r="AA355" s="13">
        <v>2020</v>
      </c>
    </row>
    <row r="356" spans="1:32" ht="39" hidden="1" customHeight="1" x14ac:dyDescent="0.25">
      <c r="A356" s="12" t="s">
        <v>23</v>
      </c>
      <c r="B356" s="12" t="s">
        <v>24</v>
      </c>
      <c r="C356" s="12" t="s">
        <v>25</v>
      </c>
      <c r="D356" s="12" t="s">
        <v>23</v>
      </c>
      <c r="E356" s="12" t="s">
        <v>30</v>
      </c>
      <c r="F356" s="12" t="s">
        <v>23</v>
      </c>
      <c r="G356" s="12" t="s">
        <v>30</v>
      </c>
      <c r="H356" s="12" t="s">
        <v>23</v>
      </c>
      <c r="I356" s="12" t="s">
        <v>31</v>
      </c>
      <c r="J356" s="12" t="s">
        <v>32</v>
      </c>
      <c r="K356" s="12" t="s">
        <v>39</v>
      </c>
      <c r="L356" s="12" t="s">
        <v>30</v>
      </c>
      <c r="M356" s="12"/>
      <c r="N356" s="12"/>
      <c r="O356" s="12"/>
      <c r="P356" s="12" t="s">
        <v>25</v>
      </c>
      <c r="Q356" s="12" t="s">
        <v>25</v>
      </c>
      <c r="R356" s="9" t="s">
        <v>154</v>
      </c>
      <c r="S356" s="13" t="s">
        <v>1</v>
      </c>
      <c r="T356" s="34">
        <v>255.9</v>
      </c>
      <c r="U356" s="34">
        <v>255.9</v>
      </c>
      <c r="V356" s="34">
        <v>269.5</v>
      </c>
      <c r="W356" s="34">
        <v>280.60000000000002</v>
      </c>
      <c r="X356" s="34">
        <v>290.7</v>
      </c>
      <c r="Y356" s="34">
        <v>300</v>
      </c>
      <c r="Z356" s="10">
        <f>T356+U356+V356+W356+X356+Y356</f>
        <v>1652.6000000000001</v>
      </c>
      <c r="AA356" s="35">
        <v>2020</v>
      </c>
    </row>
    <row r="357" spans="1:32" s="22" customFormat="1" ht="25.9" hidden="1" customHeight="1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7" t="s">
        <v>42</v>
      </c>
      <c r="S357" s="15"/>
      <c r="T357" s="8"/>
      <c r="U357" s="8"/>
      <c r="V357" s="8"/>
      <c r="W357" s="8"/>
      <c r="X357" s="8"/>
      <c r="Y357" s="8"/>
      <c r="Z357" s="5"/>
      <c r="AA357" s="19"/>
      <c r="AB357" s="46"/>
      <c r="AC357" s="46"/>
      <c r="AD357" s="46"/>
      <c r="AE357" s="1"/>
      <c r="AF357" s="1"/>
    </row>
    <row r="358" spans="1:32" s="22" customFormat="1" ht="30" hidden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9" t="s">
        <v>155</v>
      </c>
      <c r="S358" s="13" t="s">
        <v>19</v>
      </c>
      <c r="T358" s="11" t="s">
        <v>20</v>
      </c>
      <c r="U358" s="11" t="s">
        <v>20</v>
      </c>
      <c r="V358" s="11" t="s">
        <v>20</v>
      </c>
      <c r="W358" s="11" t="s">
        <v>20</v>
      </c>
      <c r="X358" s="11" t="s">
        <v>20</v>
      </c>
      <c r="Y358" s="11" t="s">
        <v>20</v>
      </c>
      <c r="Z358" s="11" t="s">
        <v>20</v>
      </c>
      <c r="AA358" s="13">
        <v>2020</v>
      </c>
      <c r="AB358" s="46"/>
      <c r="AC358" s="46"/>
      <c r="AD358" s="46"/>
      <c r="AE358" s="1"/>
      <c r="AF358" s="1"/>
    </row>
    <row r="359" spans="1:32" s="22" customFormat="1" ht="45" hidden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17" t="s">
        <v>156</v>
      </c>
      <c r="S359" s="15" t="s">
        <v>9</v>
      </c>
      <c r="T359" s="18">
        <v>500</v>
      </c>
      <c r="U359" s="18">
        <v>500</v>
      </c>
      <c r="V359" s="18">
        <v>500</v>
      </c>
      <c r="W359" s="18">
        <v>500</v>
      </c>
      <c r="X359" s="18">
        <v>500</v>
      </c>
      <c r="Y359" s="18">
        <v>500</v>
      </c>
      <c r="Z359" s="6">
        <f t="shared" ref="Z359:Z374" si="84">T359+U359+V359+W359+X359+Y359</f>
        <v>3000</v>
      </c>
      <c r="AA359" s="19">
        <v>2020</v>
      </c>
      <c r="AB359" s="46"/>
      <c r="AC359" s="46"/>
      <c r="AD359" s="46"/>
      <c r="AE359" s="1"/>
      <c r="AF359" s="1"/>
    </row>
    <row r="360" spans="1:32" s="22" customFormat="1" ht="52.5" hidden="1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9" t="s">
        <v>157</v>
      </c>
      <c r="S360" s="13" t="s">
        <v>19</v>
      </c>
      <c r="T360" s="11" t="s">
        <v>20</v>
      </c>
      <c r="U360" s="11" t="s">
        <v>20</v>
      </c>
      <c r="V360" s="11" t="s">
        <v>20</v>
      </c>
      <c r="W360" s="11" t="s">
        <v>20</v>
      </c>
      <c r="X360" s="11" t="s">
        <v>20</v>
      </c>
      <c r="Y360" s="11" t="s">
        <v>20</v>
      </c>
      <c r="Z360" s="11" t="s">
        <v>20</v>
      </c>
      <c r="AA360" s="13">
        <v>2020</v>
      </c>
      <c r="AB360" s="46"/>
      <c r="AC360" s="46"/>
      <c r="AD360" s="46"/>
      <c r="AE360" s="1"/>
      <c r="AF360" s="1"/>
    </row>
    <row r="361" spans="1:32" s="22" customFormat="1" ht="60" hidden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17" t="s">
        <v>158</v>
      </c>
      <c r="S361" s="15" t="s">
        <v>9</v>
      </c>
      <c r="T361" s="18">
        <v>5</v>
      </c>
      <c r="U361" s="18">
        <v>5</v>
      </c>
      <c r="V361" s="18">
        <v>5</v>
      </c>
      <c r="W361" s="18">
        <v>5</v>
      </c>
      <c r="X361" s="18">
        <v>5</v>
      </c>
      <c r="Y361" s="18">
        <v>5</v>
      </c>
      <c r="Z361" s="6">
        <f t="shared" si="84"/>
        <v>30</v>
      </c>
      <c r="AA361" s="19">
        <v>2020</v>
      </c>
      <c r="AB361" s="46"/>
      <c r="AC361" s="46"/>
      <c r="AD361" s="46"/>
      <c r="AE361" s="1"/>
      <c r="AF361" s="1"/>
    </row>
    <row r="362" spans="1:32" s="22" customFormat="1" ht="45" hidden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9" t="s">
        <v>159</v>
      </c>
      <c r="S362" s="13" t="s">
        <v>19</v>
      </c>
      <c r="T362" s="11" t="s">
        <v>20</v>
      </c>
      <c r="U362" s="11" t="s">
        <v>20</v>
      </c>
      <c r="V362" s="11" t="s">
        <v>20</v>
      </c>
      <c r="W362" s="11" t="s">
        <v>20</v>
      </c>
      <c r="X362" s="11" t="s">
        <v>20</v>
      </c>
      <c r="Y362" s="11" t="s">
        <v>20</v>
      </c>
      <c r="Z362" s="11" t="s">
        <v>20</v>
      </c>
      <c r="AA362" s="13">
        <v>2020</v>
      </c>
      <c r="AB362" s="46"/>
      <c r="AC362" s="46"/>
      <c r="AD362" s="46"/>
      <c r="AE362" s="1"/>
      <c r="AF362" s="1"/>
    </row>
    <row r="363" spans="1:32" s="22" customFormat="1" ht="45" hidden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17" t="s">
        <v>160</v>
      </c>
      <c r="S363" s="15" t="s">
        <v>9</v>
      </c>
      <c r="T363" s="18">
        <v>50</v>
      </c>
      <c r="U363" s="18">
        <v>50</v>
      </c>
      <c r="V363" s="18">
        <v>50</v>
      </c>
      <c r="W363" s="18">
        <v>50</v>
      </c>
      <c r="X363" s="18">
        <v>50</v>
      </c>
      <c r="Y363" s="18">
        <v>50</v>
      </c>
      <c r="Z363" s="6">
        <f>T363+U363+V363+W363+X363+Y363</f>
        <v>300</v>
      </c>
      <c r="AA363" s="19">
        <v>2020</v>
      </c>
      <c r="AB363" s="46"/>
      <c r="AC363" s="46"/>
      <c r="AD363" s="46"/>
      <c r="AE363" s="1"/>
      <c r="AF363" s="1"/>
    </row>
    <row r="364" spans="1:32" s="22" customFormat="1" ht="30" hidden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9" t="s">
        <v>161</v>
      </c>
      <c r="S364" s="13" t="s">
        <v>19</v>
      </c>
      <c r="T364" s="11" t="s">
        <v>20</v>
      </c>
      <c r="U364" s="11" t="s">
        <v>20</v>
      </c>
      <c r="V364" s="11" t="s">
        <v>20</v>
      </c>
      <c r="W364" s="11" t="s">
        <v>20</v>
      </c>
      <c r="X364" s="11" t="s">
        <v>20</v>
      </c>
      <c r="Y364" s="11" t="s">
        <v>20</v>
      </c>
      <c r="Z364" s="11" t="s">
        <v>20</v>
      </c>
      <c r="AA364" s="13">
        <v>2020</v>
      </c>
      <c r="AB364" s="46"/>
      <c r="AC364" s="46"/>
      <c r="AD364" s="46"/>
      <c r="AE364" s="1"/>
      <c r="AF364" s="1"/>
    </row>
    <row r="365" spans="1:32" s="22" customFormat="1" ht="52.5" hidden="1" customHeight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17" t="s">
        <v>162</v>
      </c>
      <c r="S365" s="15" t="s">
        <v>9</v>
      </c>
      <c r="T365" s="18">
        <v>50</v>
      </c>
      <c r="U365" s="18">
        <v>50</v>
      </c>
      <c r="V365" s="18">
        <v>50</v>
      </c>
      <c r="W365" s="18">
        <v>50</v>
      </c>
      <c r="X365" s="18">
        <v>50</v>
      </c>
      <c r="Y365" s="18">
        <v>50</v>
      </c>
      <c r="Z365" s="6">
        <f t="shared" si="84"/>
        <v>300</v>
      </c>
      <c r="AA365" s="19">
        <v>2020</v>
      </c>
      <c r="AB365" s="46"/>
      <c r="AC365" s="46"/>
      <c r="AD365" s="46"/>
      <c r="AE365" s="1"/>
      <c r="AF365" s="1"/>
    </row>
    <row r="366" spans="1:32" s="22" customFormat="1" ht="39.6" hidden="1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17" t="s">
        <v>163</v>
      </c>
      <c r="S366" s="15" t="s">
        <v>10</v>
      </c>
      <c r="T366" s="18">
        <v>100</v>
      </c>
      <c r="U366" s="18">
        <v>100</v>
      </c>
      <c r="V366" s="18">
        <v>100</v>
      </c>
      <c r="W366" s="18">
        <v>100</v>
      </c>
      <c r="X366" s="18">
        <v>100</v>
      </c>
      <c r="Y366" s="18">
        <v>100</v>
      </c>
      <c r="Z366" s="6">
        <f t="shared" si="84"/>
        <v>600</v>
      </c>
      <c r="AA366" s="15">
        <v>2020</v>
      </c>
      <c r="AB366" s="46"/>
      <c r="AC366" s="46"/>
      <c r="AD366" s="46"/>
      <c r="AE366" s="1"/>
      <c r="AF366" s="1"/>
    </row>
    <row r="367" spans="1:32" s="22" customFormat="1" ht="45" hidden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9" t="s">
        <v>164</v>
      </c>
      <c r="S367" s="13" t="s">
        <v>19</v>
      </c>
      <c r="T367" s="11" t="s">
        <v>20</v>
      </c>
      <c r="U367" s="11" t="s">
        <v>20</v>
      </c>
      <c r="V367" s="11" t="s">
        <v>20</v>
      </c>
      <c r="W367" s="11" t="s">
        <v>20</v>
      </c>
      <c r="X367" s="11" t="s">
        <v>20</v>
      </c>
      <c r="Y367" s="11" t="s">
        <v>20</v>
      </c>
      <c r="Z367" s="11" t="s">
        <v>20</v>
      </c>
      <c r="AA367" s="35">
        <v>2020</v>
      </c>
      <c r="AB367" s="46"/>
      <c r="AC367" s="46"/>
      <c r="AD367" s="46"/>
      <c r="AE367" s="1"/>
      <c r="AF367" s="1"/>
    </row>
    <row r="368" spans="1:32" s="22" customFormat="1" ht="30" hidden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17" t="s">
        <v>165</v>
      </c>
      <c r="S368" s="15" t="s">
        <v>13</v>
      </c>
      <c r="T368" s="18">
        <v>12</v>
      </c>
      <c r="U368" s="18">
        <v>12</v>
      </c>
      <c r="V368" s="18">
        <v>12</v>
      </c>
      <c r="W368" s="18">
        <v>12</v>
      </c>
      <c r="X368" s="18">
        <v>12</v>
      </c>
      <c r="Y368" s="18">
        <v>12</v>
      </c>
      <c r="Z368" s="6">
        <f t="shared" si="84"/>
        <v>72</v>
      </c>
      <c r="AA368" s="15">
        <v>2020</v>
      </c>
      <c r="AB368" s="46"/>
      <c r="AC368" s="46"/>
      <c r="AD368" s="46"/>
      <c r="AE368" s="1"/>
      <c r="AF368" s="1"/>
    </row>
    <row r="369" spans="1:32" s="22" customFormat="1" ht="45" hidden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9" t="s">
        <v>166</v>
      </c>
      <c r="S369" s="13" t="s">
        <v>19</v>
      </c>
      <c r="T369" s="11" t="s">
        <v>20</v>
      </c>
      <c r="U369" s="11" t="s">
        <v>20</v>
      </c>
      <c r="V369" s="11" t="s">
        <v>20</v>
      </c>
      <c r="W369" s="11" t="s">
        <v>20</v>
      </c>
      <c r="X369" s="11" t="s">
        <v>20</v>
      </c>
      <c r="Y369" s="11" t="s">
        <v>20</v>
      </c>
      <c r="Z369" s="30" t="s">
        <v>20</v>
      </c>
      <c r="AA369" s="35">
        <v>2020</v>
      </c>
      <c r="AB369" s="46"/>
      <c r="AC369" s="46"/>
      <c r="AD369" s="46"/>
      <c r="AE369" s="1"/>
      <c r="AF369" s="1"/>
    </row>
    <row r="370" spans="1:32" s="22" customFormat="1" ht="30" hidden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17" t="s">
        <v>167</v>
      </c>
      <c r="S370" s="15" t="s">
        <v>13</v>
      </c>
      <c r="T370" s="18">
        <v>4</v>
      </c>
      <c r="U370" s="18">
        <v>4</v>
      </c>
      <c r="V370" s="18">
        <v>4</v>
      </c>
      <c r="W370" s="18">
        <v>4</v>
      </c>
      <c r="X370" s="18">
        <v>4</v>
      </c>
      <c r="Y370" s="18">
        <v>4</v>
      </c>
      <c r="Z370" s="6">
        <f t="shared" si="84"/>
        <v>24</v>
      </c>
      <c r="AA370" s="15">
        <v>2020</v>
      </c>
      <c r="AB370" s="46"/>
      <c r="AC370" s="46"/>
      <c r="AD370" s="46"/>
      <c r="AE370" s="1"/>
      <c r="AF370" s="1"/>
    </row>
    <row r="371" spans="1:32" s="22" customFormat="1" ht="45" hidden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9" t="s">
        <v>168</v>
      </c>
      <c r="S371" s="13" t="s">
        <v>19</v>
      </c>
      <c r="T371" s="11" t="s">
        <v>20</v>
      </c>
      <c r="U371" s="11" t="s">
        <v>20</v>
      </c>
      <c r="V371" s="11" t="s">
        <v>20</v>
      </c>
      <c r="W371" s="11" t="s">
        <v>20</v>
      </c>
      <c r="X371" s="11" t="s">
        <v>20</v>
      </c>
      <c r="Y371" s="11" t="s">
        <v>20</v>
      </c>
      <c r="Z371" s="30" t="s">
        <v>20</v>
      </c>
      <c r="AA371" s="35">
        <v>2020</v>
      </c>
      <c r="AB371" s="46"/>
      <c r="AC371" s="46"/>
      <c r="AD371" s="46"/>
      <c r="AE371" s="1"/>
      <c r="AF371" s="1"/>
    </row>
    <row r="372" spans="1:32" s="22" customFormat="1" ht="30" hidden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17" t="s">
        <v>169</v>
      </c>
      <c r="S372" s="15" t="s">
        <v>13</v>
      </c>
      <c r="T372" s="18">
        <v>5</v>
      </c>
      <c r="U372" s="18">
        <v>5</v>
      </c>
      <c r="V372" s="18">
        <v>5</v>
      </c>
      <c r="W372" s="18">
        <v>5</v>
      </c>
      <c r="X372" s="18">
        <v>5</v>
      </c>
      <c r="Y372" s="18">
        <v>5</v>
      </c>
      <c r="Z372" s="6">
        <f t="shared" si="84"/>
        <v>30</v>
      </c>
      <c r="AA372" s="15">
        <v>2020</v>
      </c>
      <c r="AB372" s="46"/>
      <c r="AC372" s="46"/>
      <c r="AD372" s="46"/>
      <c r="AE372" s="1"/>
      <c r="AF372" s="1"/>
    </row>
    <row r="373" spans="1:32" s="22" customFormat="1" ht="45" hidden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9" t="s">
        <v>170</v>
      </c>
      <c r="S373" s="13" t="s">
        <v>19</v>
      </c>
      <c r="T373" s="11" t="s">
        <v>20</v>
      </c>
      <c r="U373" s="11" t="s">
        <v>20</v>
      </c>
      <c r="V373" s="11" t="s">
        <v>20</v>
      </c>
      <c r="W373" s="11" t="s">
        <v>20</v>
      </c>
      <c r="X373" s="11" t="s">
        <v>20</v>
      </c>
      <c r="Y373" s="11" t="s">
        <v>20</v>
      </c>
      <c r="Z373" s="11" t="s">
        <v>20</v>
      </c>
      <c r="AA373" s="35">
        <v>2020</v>
      </c>
      <c r="AB373" s="46"/>
      <c r="AC373" s="46"/>
      <c r="AD373" s="46"/>
      <c r="AE373" s="1"/>
      <c r="AF373" s="1"/>
    </row>
    <row r="374" spans="1:32" s="22" customFormat="1" ht="30" hidden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17" t="s">
        <v>169</v>
      </c>
      <c r="S374" s="15" t="s">
        <v>13</v>
      </c>
      <c r="T374" s="18">
        <v>4</v>
      </c>
      <c r="U374" s="18">
        <v>4</v>
      </c>
      <c r="V374" s="18">
        <v>4</v>
      </c>
      <c r="W374" s="18">
        <v>4</v>
      </c>
      <c r="X374" s="18">
        <v>4</v>
      </c>
      <c r="Y374" s="18">
        <v>4</v>
      </c>
      <c r="Z374" s="6">
        <f t="shared" si="84"/>
        <v>24</v>
      </c>
      <c r="AA374" s="15">
        <v>2020</v>
      </c>
      <c r="AB374" s="46"/>
      <c r="AC374" s="46"/>
      <c r="AD374" s="46"/>
      <c r="AE374" s="1"/>
      <c r="AF374" s="1"/>
    </row>
    <row r="375" spans="1:32" s="22" customFormat="1" x14ac:dyDescent="0.2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5"/>
      <c r="S375" s="42"/>
      <c r="T375" s="43"/>
      <c r="U375" s="43"/>
      <c r="V375" s="43"/>
      <c r="W375" s="43"/>
      <c r="X375" s="43"/>
      <c r="Y375" s="43"/>
      <c r="Z375" s="44"/>
      <c r="AA375" s="42"/>
      <c r="AB375" s="46"/>
      <c r="AC375" s="46"/>
      <c r="AD375" s="46"/>
      <c r="AE375" s="1"/>
      <c r="AF375" s="1"/>
    </row>
    <row r="376" spans="1:32" s="22" customFormat="1" x14ac:dyDescent="0.25">
      <c r="A376" s="102" t="s">
        <v>53</v>
      </c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46"/>
      <c r="AC376" s="46"/>
      <c r="AD376" s="46"/>
      <c r="AE376" s="1"/>
      <c r="AF376" s="1"/>
    </row>
    <row r="377" spans="1:32" s="22" customFormat="1" x14ac:dyDescent="0.2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98"/>
      <c r="S377" s="98"/>
      <c r="T377" s="98"/>
      <c r="U377" s="98"/>
      <c r="V377" s="98"/>
      <c r="W377" s="98"/>
      <c r="X377" s="98"/>
      <c r="Y377" s="98"/>
      <c r="Z377" s="98"/>
      <c r="AA377" s="97" t="s">
        <v>190</v>
      </c>
      <c r="AB377" s="46"/>
      <c r="AC377" s="46"/>
      <c r="AD377" s="46"/>
      <c r="AE377" s="1"/>
      <c r="AF377" s="1"/>
    </row>
    <row r="378" spans="1:32" s="22" customFormat="1" x14ac:dyDescent="0.2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98"/>
      <c r="S378" s="98"/>
      <c r="T378" s="98"/>
      <c r="U378" s="98"/>
      <c r="V378" s="98"/>
      <c r="W378" s="98"/>
      <c r="X378" s="98"/>
      <c r="Y378" s="98"/>
      <c r="Z378" s="98"/>
      <c r="AA378" s="97"/>
      <c r="AB378" s="46"/>
      <c r="AC378" s="46"/>
      <c r="AD378" s="46"/>
      <c r="AE378" s="1"/>
      <c r="AF378" s="1"/>
    </row>
    <row r="379" spans="1:32" ht="13.9" customHeight="1" x14ac:dyDescent="0.25">
      <c r="A379" s="100" t="s">
        <v>234</v>
      </c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</row>
  </sheetData>
  <mergeCells count="21">
    <mergeCell ref="A4:AA4"/>
    <mergeCell ref="A5:AA5"/>
    <mergeCell ref="A7:AA7"/>
    <mergeCell ref="AE330:AF330"/>
    <mergeCell ref="AE340:AF340"/>
    <mergeCell ref="A379:AA379"/>
    <mergeCell ref="V1:AA1"/>
    <mergeCell ref="A376:AA376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2017-12-22T13:59:33Z</dcterms:modified>
</cp:coreProperties>
</file>